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019-21 Budget Development Workshops (2017)\presentations\Website\"/>
    </mc:Choice>
  </mc:AlternateContent>
  <bookViews>
    <workbookView xWindow="1860" yWindow="0" windowWidth="23070" windowHeight="9885"/>
  </bookViews>
  <sheets>
    <sheet name="How to use this worksheet" sheetId="7" r:id="rId1"/>
    <sheet name="My Project" sheetId="5" r:id="rId2"/>
    <sheet name="Expected Cost" sheetId="6" r:id="rId3"/>
    <sheet name="Consolidated Score Sheet" sheetId="1" r:id="rId4"/>
    <sheet name="Parameters" sheetId="3" r:id="rId5"/>
    <sheet name="Priorities" sheetId="2" r:id="rId6"/>
  </sheets>
  <definedNames>
    <definedName name="_xlnm.Print_Area" localSheetId="3">'Consolidated Score Sheet'!$B$5:$I$196</definedName>
    <definedName name="_xlnm.Print_Area" localSheetId="2">'Expected Cost'!$B$2:$H$50</definedName>
    <definedName name="_xlnm.Print_Area" localSheetId="0">'How to use this worksheet'!$B$2:$D$68</definedName>
    <definedName name="_xlnm.Print_Area" localSheetId="1">'My Project'!$C$2:$F$138</definedName>
    <definedName name="_xlnm.Print_Area" localSheetId="4">Parameters!$B$2:$E$34</definedName>
    <definedName name="_xlnm.Print_Area" localSheetId="5">Priorities!$B$3:$F$13</definedName>
    <definedName name="_xlnm.Print_Titles" localSheetId="3">'Consolidated Score Sheet'!$3:$4</definedName>
    <definedName name="_xlnm.Print_Titles" localSheetId="1">'My Project'!$2:$3</definedName>
  </definedNames>
  <calcPr calcId="162913"/>
</workbook>
</file>

<file path=xl/calcChain.xml><?xml version="1.0" encoding="utf-8"?>
<calcChain xmlns="http://schemas.openxmlformats.org/spreadsheetml/2006/main">
  <c r="D33" i="3" l="1"/>
  <c r="C33" i="3"/>
  <c r="D32" i="3"/>
  <c r="C32" i="3"/>
  <c r="D31" i="3"/>
  <c r="C31" i="3"/>
  <c r="D30" i="3"/>
  <c r="C30" i="3"/>
  <c r="D29" i="3"/>
  <c r="C29" i="3"/>
  <c r="D28" i="3"/>
  <c r="C28" i="3"/>
  <c r="D11" i="3"/>
  <c r="C11" i="3"/>
  <c r="D10" i="3"/>
  <c r="C10" i="3"/>
  <c r="D9" i="3"/>
  <c r="C9" i="3"/>
  <c r="D8" i="3"/>
  <c r="C8" i="3"/>
  <c r="D7" i="3"/>
  <c r="C7" i="3"/>
  <c r="D6" i="3"/>
  <c r="G173" i="1" l="1"/>
  <c r="H173" i="1" s="1"/>
  <c r="G172" i="1"/>
  <c r="H172" i="1" s="1"/>
  <c r="G171" i="1"/>
  <c r="H171" i="1" s="1"/>
  <c r="G170" i="1"/>
  <c r="H170" i="1" s="1"/>
  <c r="G169" i="1"/>
  <c r="H169" i="1" s="1"/>
  <c r="G168" i="1"/>
  <c r="H168" i="1" s="1"/>
  <c r="G167" i="1"/>
  <c r="H167" i="1" s="1"/>
  <c r="E70" i="5"/>
  <c r="E69" i="5"/>
  <c r="E71" i="5" s="1"/>
  <c r="E54" i="5"/>
  <c r="D54" i="5"/>
  <c r="F53" i="5"/>
  <c r="F52" i="5"/>
  <c r="F105" i="5"/>
  <c r="F104" i="5"/>
  <c r="F103" i="5"/>
  <c r="F102" i="5"/>
  <c r="F101" i="5"/>
  <c r="F100" i="5"/>
  <c r="F95" i="5"/>
  <c r="F94" i="5"/>
  <c r="F93" i="5"/>
  <c r="F92" i="5"/>
  <c r="F91" i="5"/>
  <c r="F90" i="5"/>
  <c r="E105" i="5"/>
  <c r="E104" i="5"/>
  <c r="E103" i="5"/>
  <c r="E102" i="5"/>
  <c r="E101" i="5"/>
  <c r="E100" i="5"/>
  <c r="F137" i="5"/>
  <c r="F136" i="5"/>
  <c r="F135" i="5"/>
  <c r="F134" i="5"/>
  <c r="F133" i="5"/>
  <c r="F132" i="5"/>
  <c r="E137" i="5"/>
  <c r="E136" i="5"/>
  <c r="E135" i="5"/>
  <c r="E134" i="5"/>
  <c r="E133" i="5"/>
  <c r="E132" i="5"/>
  <c r="F127" i="5"/>
  <c r="F126" i="5"/>
  <c r="F125" i="5"/>
  <c r="F124" i="5"/>
  <c r="F123" i="5"/>
  <c r="F122" i="5"/>
  <c r="D127" i="5"/>
  <c r="D126" i="5"/>
  <c r="D125" i="5"/>
  <c r="D124" i="5"/>
  <c r="D123" i="5"/>
  <c r="D122" i="5"/>
  <c r="F54" i="5" l="1"/>
  <c r="E106" i="5"/>
  <c r="E138" i="5"/>
  <c r="D7" i="5" l="1"/>
  <c r="I187" i="1"/>
  <c r="I154" i="1"/>
  <c r="I111" i="1"/>
  <c r="H67" i="1"/>
  <c r="H42" i="1"/>
  <c r="H12" i="1"/>
  <c r="E5" i="2"/>
  <c r="I13" i="1" s="1"/>
  <c r="I11" i="1"/>
  <c r="I41" i="1"/>
  <c r="I66" i="1"/>
  <c r="H65" i="1"/>
  <c r="H64" i="1"/>
  <c r="H63" i="1"/>
  <c r="H62" i="1"/>
  <c r="H60" i="1"/>
  <c r="H59" i="1"/>
  <c r="H58" i="1"/>
  <c r="H56" i="1"/>
  <c r="H55" i="1"/>
  <c r="H54" i="1"/>
  <c r="H53" i="1"/>
  <c r="H51" i="1"/>
  <c r="H50" i="1"/>
  <c r="H49" i="1"/>
  <c r="H48" i="1"/>
  <c r="H7" i="1"/>
  <c r="H66" i="1" l="1"/>
  <c r="E23" i="5"/>
  <c r="H68" i="1" l="1"/>
  <c r="D30" i="5"/>
  <c r="C15" i="3" s="1"/>
  <c r="D62" i="5" l="1"/>
  <c r="D95" i="5"/>
  <c r="D94" i="5"/>
  <c r="D93" i="5"/>
  <c r="D92" i="5"/>
  <c r="D91" i="5"/>
  <c r="D90" i="5"/>
  <c r="D116" i="5"/>
  <c r="E116" i="5" s="1"/>
  <c r="E118" i="5" s="1"/>
  <c r="D84" i="5"/>
  <c r="D70" i="5" l="1"/>
  <c r="F70" i="5" s="1"/>
  <c r="D69" i="5"/>
  <c r="E84" i="5"/>
  <c r="E86" i="5" s="1"/>
  <c r="G76" i="1"/>
  <c r="G73" i="1"/>
  <c r="G75" i="1"/>
  <c r="G79" i="1"/>
  <c r="G78" i="1"/>
  <c r="G74" i="1"/>
  <c r="G77" i="1"/>
  <c r="D128" i="5"/>
  <c r="E128" i="5" s="1"/>
  <c r="D96" i="5"/>
  <c r="E96" i="5" s="1"/>
  <c r="D5" i="5"/>
  <c r="D8" i="5"/>
  <c r="D10" i="5" s="1"/>
  <c r="F69" i="5" l="1"/>
  <c r="D71" i="5"/>
  <c r="F71" i="5" s="1"/>
  <c r="G165" i="1"/>
  <c r="G164" i="1"/>
  <c r="G162" i="1"/>
  <c r="G163" i="1"/>
  <c r="G123" i="1"/>
  <c r="G118" i="1"/>
  <c r="G122" i="1"/>
  <c r="G124" i="1"/>
  <c r="G119" i="1"/>
  <c r="G121" i="1"/>
  <c r="G120" i="1"/>
  <c r="G132" i="1"/>
  <c r="G128" i="1"/>
  <c r="G133" i="1"/>
  <c r="G131" i="1"/>
  <c r="G127" i="1"/>
  <c r="G126" i="1"/>
  <c r="G129" i="1"/>
  <c r="G130" i="1"/>
  <c r="G86" i="1"/>
  <c r="G87" i="1"/>
  <c r="G84" i="1"/>
  <c r="G83" i="1"/>
  <c r="G82" i="1"/>
  <c r="G85" i="1"/>
  <c r="G81" i="1"/>
  <c r="D9" i="5"/>
  <c r="E7" i="5" s="1"/>
  <c r="C6" i="6"/>
  <c r="D66" i="5"/>
  <c r="G146" i="1"/>
  <c r="G145" i="1"/>
  <c r="G144" i="1"/>
  <c r="G143" i="1"/>
  <c r="G142" i="1"/>
  <c r="G141" i="1"/>
  <c r="G140" i="1"/>
  <c r="C4" i="6"/>
  <c r="C22" i="3" l="1"/>
  <c r="C5" i="6"/>
  <c r="D12" i="6" s="1"/>
  <c r="F12" i="6" s="1"/>
  <c r="H162" i="1"/>
  <c r="H148" i="1"/>
  <c r="H140" i="1"/>
  <c r="H126" i="1"/>
  <c r="H118" i="1"/>
  <c r="H107" i="1"/>
  <c r="H102" i="1"/>
  <c r="H81" i="1"/>
  <c r="H73" i="1"/>
  <c r="H36" i="1"/>
  <c r="H32" i="1"/>
  <c r="H23" i="1"/>
  <c r="H18" i="1"/>
  <c r="C21" i="3"/>
  <c r="C20" i="3"/>
  <c r="H10" i="1"/>
  <c r="H9" i="1"/>
  <c r="H8" i="1"/>
  <c r="H6" i="1"/>
  <c r="E16" i="6" l="1"/>
  <c r="D9" i="6"/>
  <c r="F9" i="6" s="1"/>
  <c r="D14" i="6"/>
  <c r="F14" i="6" s="1"/>
  <c r="D11" i="6"/>
  <c r="F11" i="6" s="1"/>
  <c r="D13" i="6"/>
  <c r="F13" i="6" s="1"/>
  <c r="D10" i="6"/>
  <c r="F10" i="6" s="1"/>
  <c r="D15" i="6"/>
  <c r="F15" i="6" s="1"/>
  <c r="H11" i="1"/>
  <c r="C6" i="3"/>
  <c r="D38" i="5"/>
  <c r="E8" i="5"/>
  <c r="H181" i="1"/>
  <c r="H180" i="1"/>
  <c r="H179" i="1"/>
  <c r="H178" i="1"/>
  <c r="H165" i="1"/>
  <c r="H164" i="1"/>
  <c r="H163" i="1"/>
  <c r="H151" i="1"/>
  <c r="H150" i="1"/>
  <c r="H149" i="1"/>
  <c r="H146" i="1"/>
  <c r="H145" i="1"/>
  <c r="H144" i="1"/>
  <c r="H143" i="1"/>
  <c r="H142" i="1"/>
  <c r="H141" i="1"/>
  <c r="H133" i="1"/>
  <c r="H132" i="1"/>
  <c r="H131" i="1"/>
  <c r="H130" i="1"/>
  <c r="H129" i="1"/>
  <c r="H128" i="1"/>
  <c r="H127" i="1"/>
  <c r="H124" i="1"/>
  <c r="H123" i="1"/>
  <c r="H122" i="1"/>
  <c r="H121" i="1"/>
  <c r="H120" i="1"/>
  <c r="H119" i="1"/>
  <c r="H109" i="1"/>
  <c r="H108" i="1"/>
  <c r="H105" i="1"/>
  <c r="H104" i="1"/>
  <c r="H103" i="1"/>
  <c r="G100" i="1"/>
  <c r="H100" i="1" s="1"/>
  <c r="G99" i="1"/>
  <c r="H99" i="1" s="1"/>
  <c r="G98" i="1"/>
  <c r="H98" i="1" s="1"/>
  <c r="G97" i="1"/>
  <c r="H97" i="1" s="1"/>
  <c r="G96" i="1"/>
  <c r="H96" i="1" s="1"/>
  <c r="G95" i="1"/>
  <c r="H95" i="1" s="1"/>
  <c r="G94" i="1"/>
  <c r="H94" i="1" s="1"/>
  <c r="H87" i="1"/>
  <c r="H86" i="1"/>
  <c r="H85" i="1"/>
  <c r="H84" i="1"/>
  <c r="H83" i="1"/>
  <c r="H82" i="1"/>
  <c r="H79" i="1"/>
  <c r="H78" i="1"/>
  <c r="H77" i="1"/>
  <c r="H76" i="1"/>
  <c r="H75" i="1"/>
  <c r="H74" i="1"/>
  <c r="H38" i="1"/>
  <c r="H37" i="1"/>
  <c r="H34" i="1"/>
  <c r="H33" i="1"/>
  <c r="H26" i="1"/>
  <c r="H25" i="1"/>
  <c r="H24" i="1"/>
  <c r="H21" i="1"/>
  <c r="H20" i="1"/>
  <c r="H19" i="1"/>
  <c r="F16" i="6" l="1"/>
  <c r="F17" i="6" s="1"/>
  <c r="E36" i="5"/>
  <c r="D20" i="5"/>
  <c r="E5" i="5"/>
  <c r="E9" i="5"/>
  <c r="E6" i="5"/>
  <c r="E10" i="5" s="1"/>
  <c r="E17" i="6"/>
  <c r="B17" i="6" s="1"/>
  <c r="C14" i="3" l="1"/>
  <c r="C16" i="3" s="1"/>
  <c r="E13" i="5"/>
  <c r="E28" i="5"/>
  <c r="E25" i="5"/>
  <c r="E27" i="5"/>
  <c r="E24" i="5"/>
  <c r="E29" i="5"/>
  <c r="E26" i="5"/>
  <c r="F18" i="6"/>
  <c r="H19" i="6" s="1"/>
  <c r="G186" i="1" s="1"/>
  <c r="H186" i="1" s="1"/>
  <c r="C19" i="3"/>
  <c r="D37" i="5"/>
  <c r="E35" i="5" s="1"/>
  <c r="E38" i="5" s="1"/>
  <c r="H17" i="6"/>
  <c r="G184" i="1" s="1"/>
  <c r="H184" i="1" s="1"/>
  <c r="H16" i="6"/>
  <c r="G183" i="1" s="1"/>
  <c r="H183" i="1" s="1"/>
  <c r="E18" i="5"/>
  <c r="E15" i="5"/>
  <c r="E14" i="5"/>
  <c r="E19" i="5"/>
  <c r="E16" i="5"/>
  <c r="E17" i="5"/>
  <c r="E42" i="5" l="1"/>
  <c r="E34" i="5"/>
  <c r="E30" i="5"/>
  <c r="D39" i="5"/>
  <c r="E39" i="5" s="1"/>
  <c r="E10" i="2"/>
  <c r="I68" i="1" s="1"/>
  <c r="H18" i="6"/>
  <c r="G185" i="1" s="1"/>
  <c r="H185" i="1" s="1"/>
  <c r="H187" i="1" s="1"/>
  <c r="E33" i="5"/>
  <c r="E37" i="5"/>
  <c r="G90" i="1"/>
  <c r="H90" i="1" s="1"/>
  <c r="G136" i="1"/>
  <c r="H136" i="1" s="1"/>
  <c r="G28" i="1"/>
  <c r="H28" i="1" s="1"/>
  <c r="G89" i="1"/>
  <c r="H89" i="1" s="1"/>
  <c r="G135" i="1"/>
  <c r="H135" i="1" s="1"/>
  <c r="G138" i="1"/>
  <c r="H138" i="1" s="1"/>
  <c r="G30" i="1"/>
  <c r="H30" i="1" s="1"/>
  <c r="G92" i="1"/>
  <c r="H92" i="1" s="1"/>
  <c r="E20" i="5"/>
  <c r="C23" i="3"/>
  <c r="C24" i="3"/>
  <c r="D20" i="3" l="1"/>
  <c r="D21" i="3"/>
  <c r="E43" i="5"/>
  <c r="G137" i="1"/>
  <c r="H137" i="1" s="1"/>
  <c r="H154" i="1" s="1"/>
  <c r="G91" i="1"/>
  <c r="H91" i="1" s="1"/>
  <c r="H111" i="1" s="1"/>
  <c r="G29" i="1"/>
  <c r="H29" i="1" s="1"/>
  <c r="H41" i="1" s="1"/>
  <c r="D42" i="5"/>
  <c r="D22" i="3"/>
  <c r="E7" i="2"/>
  <c r="I113" i="1" s="1"/>
  <c r="H112" i="1"/>
  <c r="E9" i="2"/>
  <c r="I189" i="1" s="1"/>
  <c r="H188" i="1"/>
  <c r="H189" i="1" s="1"/>
  <c r="E8" i="2"/>
  <c r="I156" i="1" s="1"/>
  <c r="H155" i="1"/>
  <c r="E6" i="2"/>
  <c r="I43" i="1" s="1"/>
  <c r="D23" i="3"/>
  <c r="D25" i="3" s="1"/>
  <c r="C25" i="3"/>
  <c r="D19" i="3"/>
  <c r="E46" i="5" l="1"/>
  <c r="D46" i="5" s="1"/>
  <c r="E45" i="5"/>
  <c r="D45" i="5" s="1"/>
  <c r="D43" i="5"/>
  <c r="E44" i="5"/>
  <c r="D44" i="5" s="1"/>
  <c r="H44" i="1"/>
  <c r="I45" i="1" s="1"/>
  <c r="H13" i="1"/>
  <c r="H15" i="1"/>
  <c r="H195" i="1" s="1"/>
  <c r="H156" i="1"/>
  <c r="H43" i="1"/>
  <c r="H113" i="1"/>
  <c r="D24" i="3"/>
  <c r="D47" i="5" l="1"/>
  <c r="H45" i="1"/>
  <c r="E47" i="5"/>
  <c r="H69" i="1"/>
  <c r="I158" i="1"/>
  <c r="I191" i="1"/>
  <c r="H190" i="1" l="1"/>
  <c r="H191" i="1" s="1"/>
  <c r="H157" i="1"/>
  <c r="H158" i="1" s="1"/>
  <c r="H114" i="1"/>
  <c r="H115" i="1" s="1"/>
  <c r="I70" i="1"/>
  <c r="H70" i="1"/>
  <c r="I115" i="1" l="1"/>
  <c r="H194" i="1"/>
  <c r="H196" i="1" s="1"/>
</calcChain>
</file>

<file path=xl/comments1.xml><?xml version="1.0" encoding="utf-8"?>
<comments xmlns="http://schemas.openxmlformats.org/spreadsheetml/2006/main">
  <authors>
    <author>Wayne Doty</author>
  </authors>
  <commentList>
    <comment ref="D5" authorId="0" shapeId="0">
      <text>
        <r>
          <rPr>
            <b/>
            <sz val="9"/>
            <color indexed="81"/>
            <rFont val="Tahoma"/>
            <family val="2"/>
          </rPr>
          <t>Wayne Doty:</t>
        </r>
        <r>
          <rPr>
            <sz val="9"/>
            <color indexed="81"/>
            <rFont val="Tahoma"/>
            <family val="2"/>
          </rPr>
          <t xml:space="preserve">
From renovation calculation below.</t>
        </r>
      </text>
    </comment>
    <comment ref="D7" authorId="0" shapeId="0">
      <text>
        <r>
          <rPr>
            <b/>
            <sz val="9"/>
            <color indexed="81"/>
            <rFont val="Tahoma"/>
            <family val="2"/>
          </rPr>
          <t>Wayne Doty:</t>
        </r>
        <r>
          <rPr>
            <sz val="9"/>
            <color indexed="81"/>
            <rFont val="Tahoma"/>
            <family val="2"/>
          </rPr>
          <t xml:space="preserve">
From replacement and renovation calculations below.</t>
        </r>
      </text>
    </comment>
    <comment ref="D8" authorId="0" shapeId="0">
      <text>
        <r>
          <rPr>
            <b/>
            <sz val="9"/>
            <color indexed="81"/>
            <rFont val="Tahoma"/>
            <family val="2"/>
          </rPr>
          <t>Wayne Doty:</t>
        </r>
        <r>
          <rPr>
            <sz val="9"/>
            <color indexed="81"/>
            <rFont val="Tahoma"/>
            <family val="2"/>
          </rPr>
          <t xml:space="preserve">
From replacement calculation below.</t>
        </r>
      </text>
    </comment>
  </commentList>
</comments>
</file>

<file path=xl/sharedStrings.xml><?xml version="1.0" encoding="utf-8"?>
<sst xmlns="http://schemas.openxmlformats.org/spreadsheetml/2006/main" count="501" uniqueCount="332">
  <si>
    <t>Category</t>
  </si>
  <si>
    <t>Criteria</t>
  </si>
  <si>
    <t>Standard</t>
  </si>
  <si>
    <t>Possible</t>
  </si>
  <si>
    <t>Yes/No</t>
  </si>
  <si>
    <t>Points</t>
  </si>
  <si>
    <t>Matching</t>
  </si>
  <si>
    <t>Student Benefits</t>
  </si>
  <si>
    <t>Increases program access</t>
  </si>
  <si>
    <t>Yes</t>
  </si>
  <si>
    <t>Increases efficiency</t>
  </si>
  <si>
    <t>Improves service to students</t>
  </si>
  <si>
    <t>Simplifies space relationships</t>
  </si>
  <si>
    <t>Need</t>
  </si>
  <si>
    <t>Serves a critical need</t>
  </si>
  <si>
    <t>Enhances program delivery</t>
  </si>
  <si>
    <t>No</t>
  </si>
  <si>
    <t>Improves space</t>
  </si>
  <si>
    <t>Not address</t>
  </si>
  <si>
    <t>Timeline</t>
  </si>
  <si>
    <t>Schedule</t>
  </si>
  <si>
    <t>Project and funding milestones are clearly identified</t>
  </si>
  <si>
    <t>Project schedule w/o a funding schedule</t>
  </si>
  <si>
    <t>Schedule is uncertain or not evident</t>
  </si>
  <si>
    <t>Feasibility</t>
  </si>
  <si>
    <t>Assessment of the likelihood of success and good local participation</t>
  </si>
  <si>
    <t>variable</t>
  </si>
  <si>
    <t>Matching Category Subtotal</t>
  </si>
  <si>
    <t>Category Weighting</t>
  </si>
  <si>
    <t>Category Weighted Subtotal</t>
  </si>
  <si>
    <t>Project Weighting</t>
  </si>
  <si>
    <t>Matching Category Total</t>
  </si>
  <si>
    <t>Renovation</t>
  </si>
  <si>
    <t>Building Age</t>
  </si>
  <si>
    <t>Over 50</t>
  </si>
  <si>
    <t>41 - 50</t>
  </si>
  <si>
    <t>36 - 40</t>
  </si>
  <si>
    <t>31 - 35</t>
  </si>
  <si>
    <t>26 - 30</t>
  </si>
  <si>
    <t>20 - 25</t>
  </si>
  <si>
    <t>&lt; Less than 20 years</t>
  </si>
  <si>
    <t>Building Condition</t>
  </si>
  <si>
    <t>Greater than 600</t>
  </si>
  <si>
    <t>526 - 600</t>
  </si>
  <si>
    <t>476 - 525</t>
  </si>
  <si>
    <t>451 - 475</t>
  </si>
  <si>
    <t>351 - 450</t>
  </si>
  <si>
    <t>276 - 350</t>
  </si>
  <si>
    <t>Improvements</t>
  </si>
  <si>
    <t>ASF</t>
  </si>
  <si>
    <t>Percent of total ASF</t>
  </si>
  <si>
    <t>Classroom, labs</t>
  </si>
  <si>
    <t>Student Services</t>
  </si>
  <si>
    <t>Library</t>
  </si>
  <si>
    <t>Childcare</t>
  </si>
  <si>
    <t>Faculty offices</t>
  </si>
  <si>
    <t>Administration</t>
  </si>
  <si>
    <t>Maintenance/Central Stores/Student Center</t>
  </si>
  <si>
    <t>Issues</t>
  </si>
  <si>
    <t>Seismic (documentation required)</t>
  </si>
  <si>
    <t>Life safety</t>
  </si>
  <si>
    <t>ADA access</t>
  </si>
  <si>
    <t>Energy code</t>
  </si>
  <si>
    <t>Building Life Extension</t>
  </si>
  <si>
    <t>31 + years</t>
  </si>
  <si>
    <t>26 - 30 years</t>
  </si>
  <si>
    <t>20 - 25 years</t>
  </si>
  <si>
    <t>Variable</t>
  </si>
  <si>
    <t>Renovation Category Subtotal</t>
  </si>
  <si>
    <t>Renovation Category Total</t>
  </si>
  <si>
    <t>Replacement</t>
  </si>
  <si>
    <t>681 - 730</t>
  </si>
  <si>
    <t>601 - 680</t>
  </si>
  <si>
    <t>0 - 275</t>
  </si>
  <si>
    <t>Planning</t>
  </si>
  <si>
    <t>Space improves program delivery and student support</t>
  </si>
  <si>
    <t>Replacement Category Subtotal</t>
  </si>
  <si>
    <t>Replacement Category Total</t>
  </si>
  <si>
    <t>New</t>
  </si>
  <si>
    <t>Programs and student support space are identified by usage and square footage</t>
  </si>
  <si>
    <t>Location of project is identified by site</t>
  </si>
  <si>
    <t>Special initiatives beyond participation rates</t>
  </si>
  <si>
    <t>Reasonable cost estimate and building efficiency</t>
  </si>
  <si>
    <t>Expected building life - 50 years or greater</t>
  </si>
  <si>
    <t>New Category Subtotal</t>
  </si>
  <si>
    <t>New Category Total</t>
  </si>
  <si>
    <t>Category Score Subtotal:</t>
  </si>
  <si>
    <t>Overarching Score Subtotal:</t>
  </si>
  <si>
    <t>Project Score:</t>
  </si>
  <si>
    <t>Relative Category Priority</t>
  </si>
  <si>
    <t>Category Points Available</t>
  </si>
  <si>
    <t>Overarching</t>
  </si>
  <si>
    <t>Square Footage</t>
  </si>
  <si>
    <t>S1</t>
  </si>
  <si>
    <t>Renovation of Existing</t>
  </si>
  <si>
    <t>S2</t>
  </si>
  <si>
    <t>New Space</t>
  </si>
  <si>
    <t>S3</t>
  </si>
  <si>
    <t>Demolished Area</t>
  </si>
  <si>
    <t>S4</t>
  </si>
  <si>
    <t>Total Affected Area</t>
  </si>
  <si>
    <t>S5</t>
  </si>
  <si>
    <t>Costs</t>
  </si>
  <si>
    <t>Acquisition</t>
  </si>
  <si>
    <t xml:space="preserve">Consultant Services </t>
  </si>
  <si>
    <t xml:space="preserve">Construction Contracts </t>
  </si>
  <si>
    <t xml:space="preserve">Equipment </t>
  </si>
  <si>
    <t>Artwork</t>
  </si>
  <si>
    <t>Other Costs</t>
  </si>
  <si>
    <t>Project Management</t>
  </si>
  <si>
    <t>C1</t>
  </si>
  <si>
    <t>Total Project Cost</t>
  </si>
  <si>
    <t>Funding</t>
  </si>
  <si>
    <t>State Appropriation</t>
  </si>
  <si>
    <t>Financed - backed by State Appropriation</t>
  </si>
  <si>
    <t>M1</t>
  </si>
  <si>
    <t>Local Funds - Cash</t>
  </si>
  <si>
    <t>M2</t>
  </si>
  <si>
    <t>Financed - backed by Local Funds</t>
  </si>
  <si>
    <t>F1</t>
  </si>
  <si>
    <t>Total Project Funding</t>
  </si>
  <si>
    <t>Variance = Cost - Funding</t>
  </si>
  <si>
    <t>M4</t>
  </si>
  <si>
    <t>Matching = 2* (Local / Appropriated) / Total Project Funding</t>
  </si>
  <si>
    <t>R4</t>
  </si>
  <si>
    <t>P4</t>
  </si>
  <si>
    <t>N4</t>
  </si>
  <si>
    <t>Total</t>
  </si>
  <si>
    <t>Goals</t>
  </si>
  <si>
    <t>Directly tied to facilities master plan</t>
  </si>
  <si>
    <t>Includes partnerships with K-12, 4yrs, business, etc.</t>
  </si>
  <si>
    <t>Project includes at least 7 of the best practices identified to reduce greenhouse gas emissions</t>
  </si>
  <si>
    <t>Overarching Subtotal</t>
  </si>
  <si>
    <t>Overarching Category Total</t>
  </si>
  <si>
    <t>My Project</t>
  </si>
  <si>
    <t>Matching = Local / Appropriated</t>
  </si>
  <si>
    <t>Parameters</t>
  </si>
  <si>
    <t>Cost</t>
  </si>
  <si>
    <t>Total project cost is less than or equal to the expected cost per square foot for the facility type, escalated to the construction mid-point.</t>
  </si>
  <si>
    <t>Project cost is between 100% and 137% of expected cost.</t>
  </si>
  <si>
    <t>Project cost is more than 137% of expected cost.</t>
  </si>
  <si>
    <t>Project cost is between 100% and 111% of expected cost.</t>
  </si>
  <si>
    <t>Project cost is between 111% and 137% of expected cost.</t>
  </si>
  <si>
    <t>Select One</t>
  </si>
  <si>
    <t>NOTE: Assignable square footage for Replacement and Renovation portions of the project are entered directly into the consolidated score sheet.</t>
  </si>
  <si>
    <t>Construction Mid-point:</t>
  </si>
  <si>
    <t>Expected Cost Multiplier:</t>
  </si>
  <si>
    <t>from Appendix B</t>
  </si>
  <si>
    <t>Project GSF:</t>
  </si>
  <si>
    <t>S4 from Project Parameters</t>
  </si>
  <si>
    <t>Facility Type</t>
  </si>
  <si>
    <t>Expected Cost / GSF in 2008$</t>
  </si>
  <si>
    <t>Expected Cost / GSF</t>
  </si>
  <si>
    <t>GSF by Type</t>
  </si>
  <si>
    <t>Expected Cost</t>
  </si>
  <si>
    <t>Point Thresholds</t>
  </si>
  <si>
    <t>Classrooms</t>
  </si>
  <si>
    <t>Communications buildings</t>
  </si>
  <si>
    <t>Science labs (teaching)</t>
  </si>
  <si>
    <t>Research facilities</t>
  </si>
  <si>
    <t>Administrative buildings</t>
  </si>
  <si>
    <t>Day care facilities</t>
  </si>
  <si>
    <t>Gross Square Footage</t>
  </si>
  <si>
    <t>Project Funding</t>
  </si>
  <si>
    <t>Expected Cost Calculations</t>
  </si>
  <si>
    <t>Mid-construction Date</t>
  </si>
  <si>
    <t>Expected Cost Multiplier</t>
  </si>
  <si>
    <t>&lt;137%</t>
  </si>
  <si>
    <t>Paramters based on My Project inputs.</t>
  </si>
  <si>
    <t>Escalated Project Costs</t>
  </si>
  <si>
    <t>Note: Total cost and funding should be equal.</t>
  </si>
  <si>
    <t>Note: The sum of GSF by type should equal the total affected area of the project.</t>
  </si>
  <si>
    <t>The Parameters tab has intermediate calculations. No data is entered on this tab.</t>
  </si>
  <si>
    <t>This worksheet was developed to help colleges estimate a proposals potential score.</t>
  </si>
  <si>
    <t>The responses to some of the criteria can be calculated or looked up from other sources.</t>
  </si>
  <si>
    <t>Select one based on the project schedule</t>
  </si>
  <si>
    <t>Select one based on facility design and intent</t>
  </si>
  <si>
    <t>Calculated based on Project and Expected Costs</t>
  </si>
  <si>
    <t>Please let me know if you have any problems or questions.</t>
  </si>
  <si>
    <t>Thanks,</t>
  </si>
  <si>
    <t>Wayne Doty, PE</t>
  </si>
  <si>
    <t>Capital Budget Director</t>
  </si>
  <si>
    <t>State Board for Community and Technical Colleges</t>
  </si>
  <si>
    <t>Office: 360-704-4382</t>
  </si>
  <si>
    <t>Mobile: 360-827-1389</t>
  </si>
  <si>
    <t>The following data is entered on the specified tabs in the green shaded cells:</t>
  </si>
  <si>
    <t>My Project tab</t>
  </si>
  <si>
    <t>Expected Cost tab</t>
  </si>
  <si>
    <t>Consolidated Score Sheet tab</t>
  </si>
  <si>
    <t>Building</t>
  </si>
  <si>
    <t>Request Year</t>
  </si>
  <si>
    <t>Building UFI</t>
  </si>
  <si>
    <t>GSF</t>
  </si>
  <si>
    <t>Year Built</t>
  </si>
  <si>
    <t>Area to be demolished and area weighted age</t>
  </si>
  <si>
    <t>Area to be renovated and area weighted age</t>
  </si>
  <si>
    <t xml:space="preserve">Building UFI, Year Built, and GSF are available here - </t>
  </si>
  <si>
    <t>Start (Bid)</t>
  </si>
  <si>
    <t>End (SC)</t>
  </si>
  <si>
    <r>
      <t xml:space="preserve">Area weighted age of buildings to be demolished - use for projects with </t>
    </r>
    <r>
      <rPr>
        <b/>
        <sz val="11"/>
        <color theme="1"/>
        <rFont val="Calibri"/>
        <family val="2"/>
        <scheme val="minor"/>
      </rPr>
      <t>Replacement</t>
    </r>
    <r>
      <rPr>
        <sz val="11"/>
        <color theme="1"/>
        <rFont val="Calibri"/>
        <family val="2"/>
        <scheme val="minor"/>
      </rPr>
      <t xml:space="preserve"> elements.</t>
    </r>
  </si>
  <si>
    <r>
      <t xml:space="preserve">Area weighted FCS of buildings to be demolished - use for projects with </t>
    </r>
    <r>
      <rPr>
        <b/>
        <sz val="11"/>
        <color theme="1"/>
        <rFont val="Calibri"/>
        <family val="2"/>
        <scheme val="minor"/>
      </rPr>
      <t>Replacement</t>
    </r>
    <r>
      <rPr>
        <sz val="11"/>
        <color theme="1"/>
        <rFont val="Calibri"/>
        <family val="2"/>
        <scheme val="minor"/>
      </rPr>
      <t xml:space="preserve"> elements.</t>
    </r>
  </si>
  <si>
    <r>
      <t xml:space="preserve">Area weighted age of buildings to be renovated - use for projects with </t>
    </r>
    <r>
      <rPr>
        <b/>
        <sz val="11"/>
        <color theme="1"/>
        <rFont val="Calibri"/>
        <family val="2"/>
        <scheme val="minor"/>
      </rPr>
      <t>Renovation</t>
    </r>
    <r>
      <rPr>
        <sz val="11"/>
        <color theme="1"/>
        <rFont val="Calibri"/>
        <family val="2"/>
        <scheme val="minor"/>
      </rPr>
      <t xml:space="preserve"> elements.</t>
    </r>
  </si>
  <si>
    <t xml:space="preserve">  GSF of buildings to be demolished</t>
  </si>
  <si>
    <t xml:space="preserve">  Years the buildings to be demolished were built</t>
  </si>
  <si>
    <t xml:space="preserve">  GSF of buildings to be renovated</t>
  </si>
  <si>
    <t xml:space="preserve">  Years the buildings to be renovated were built</t>
  </si>
  <si>
    <t xml:space="preserve">  The Unique Facility Identifiers for building to be renovated</t>
  </si>
  <si>
    <t xml:space="preserve">  The Unique Facility Identifiers for building to be demolished</t>
  </si>
  <si>
    <t>Construction Start and End date</t>
  </si>
  <si>
    <t>Infrastructure</t>
  </si>
  <si>
    <t>Total Points Possible:</t>
  </si>
  <si>
    <t>Cost estimates are to be submitted on OFM's latest C-100 form.</t>
  </si>
  <si>
    <t>And, a project with a building and signifcant infrastructure will need at least two estimates.</t>
  </si>
  <si>
    <t>Projects with a multiple cost drivers need to be submitted on multiple C-100s.</t>
  </si>
  <si>
    <t>The current version of the C-100 is availabe here -</t>
  </si>
  <si>
    <t xml:space="preserve">This worksheet is available here - </t>
  </si>
  <si>
    <t>For example: A project with both new or replacement area and renovation of existing space will need two estimates.</t>
  </si>
  <si>
    <t>The total of all estimates will be the project total cost.</t>
  </si>
  <si>
    <t>Escalated Building Costs</t>
  </si>
  <si>
    <t>Escalated Infrastructure Costs</t>
  </si>
  <si>
    <t>NOTE: Only the building total cost is used for scoring relative to expected cost ranges.</t>
  </si>
  <si>
    <t>Total Building Cost</t>
  </si>
  <si>
    <t>Total Infrastructure Cost</t>
  </si>
  <si>
    <t>Infrastructure = (Infrastructure / Total Project Cost) - Matching</t>
  </si>
  <si>
    <t>CTC Libraries</t>
  </si>
  <si>
    <t>Directly tied to objectives in strategic plan</t>
  </si>
  <si>
    <t>Possible Points</t>
  </si>
  <si>
    <t>Ca</t>
  </si>
  <si>
    <t>Cb</t>
  </si>
  <si>
    <t>I4</t>
  </si>
  <si>
    <t>Program Need</t>
  </si>
  <si>
    <t>Infrastructure serves new building area constructed in this proposal. Or, serves 100% of the existing college.</t>
  </si>
  <si>
    <t>Serves 80% or more, and less than 100% of the existing college.</t>
  </si>
  <si>
    <t>Serves between 40% and 80% of college of the existing college.</t>
  </si>
  <si>
    <t>Serves 40% or less of the existing college.</t>
  </si>
  <si>
    <t>Reasonablness of Cost</t>
  </si>
  <si>
    <t>Infrastructure costs less than 5% of the total project. Or, infrastructure cost divided by previous average annual costs is twenty, or less.</t>
  </si>
  <si>
    <t>Infrastructure costs 5%, or more, and less than 10% of the total project. Or, infrastructure cost divided by previous average annual costs is greater than twenty and less than fifty.</t>
  </si>
  <si>
    <t>Infrastructure costs 10%, or more, and less than 15% of the total project. Or, infrastructure cost divided by previous average annual costs is fifty, or more, and less than one hundred.</t>
  </si>
  <si>
    <t>Infrastructure costs 15% or more of the total project. Or, infrastructure cost divided by previous average annual costs is one hundred, or more.</t>
  </si>
  <si>
    <t>Risk Mitigation</t>
  </si>
  <si>
    <t>Infrastructure serves new area building constructed in this proposal. Or, infrastructure age is at least 200% of the average life.</t>
  </si>
  <si>
    <t>Infrastructure is 100% to 200% of average life.</t>
  </si>
  <si>
    <t>Infrastructure is less than 100% of average life.</t>
  </si>
  <si>
    <t>Suitability for Long Term Financing</t>
  </si>
  <si>
    <t>Average life of new infrastructure is more than 30 years.</t>
  </si>
  <si>
    <t>Average life of new infrastructure is more than 25 years and less than 30 years.</t>
  </si>
  <si>
    <t>Average life or new infrastructure is 20 through 25 years.</t>
  </si>
  <si>
    <t>Average life of new infrastructure is less than 20 years.</t>
  </si>
  <si>
    <t>Infrastructure Category Subtotal</t>
  </si>
  <si>
    <t>Infrastructure Category Total</t>
  </si>
  <si>
    <t>Max 12</t>
  </si>
  <si>
    <t>Max 23</t>
  </si>
  <si>
    <t>Max 8</t>
  </si>
  <si>
    <t>Max 13 based on facility programming</t>
  </si>
  <si>
    <t>Fitness for Use</t>
  </si>
  <si>
    <t>To what extent does the proposed renovation address the existing deficiencies and project objectives?</t>
  </si>
  <si>
    <t>Seismic issues (documentation by a Structural Engineer is required)</t>
  </si>
  <si>
    <t>ADA access (provide recent compliance review)</t>
  </si>
  <si>
    <t>Energy code issues</t>
  </si>
  <si>
    <t>Issues Addressed</t>
  </si>
  <si>
    <t>Max 12 based on facility programming</t>
  </si>
  <si>
    <t>Max 14</t>
  </si>
  <si>
    <t>Max 7</t>
  </si>
  <si>
    <t>Max 24</t>
  </si>
  <si>
    <t>2015FCS</t>
  </si>
  <si>
    <t>Building Age for renovation portion of project</t>
  </si>
  <si>
    <t>http://www.ofm.wa.gov/budget/capitalforms/C100_2016.xlsx</t>
  </si>
  <si>
    <t>The Priorities tab is used to calculate Category Weighting. There are no preferences for different project elements for the 2019-21 selection.</t>
  </si>
  <si>
    <t>SBCTC 2019-21 Consolidated Scoring Sheet for Major Project Proposals</t>
  </si>
  <si>
    <t>http://www.sbctc.edu/colleges-staff/programs-services/capital-budget/capital-budget-development.aspx</t>
  </si>
  <si>
    <t>Some of the criteria are more subjective and the scorers will decide how well a proposal scores in these areas.</t>
  </si>
  <si>
    <t>The scorers will determine how each project is ranked relative to the other projects.</t>
  </si>
  <si>
    <t>There is an appeals process for administrative errors or arbitrary and capricious decisions.</t>
  </si>
  <si>
    <t>Net Area Change = New - Demo - Circulation</t>
  </si>
  <si>
    <r>
      <t xml:space="preserve">Area weighted FCS of buildings to be renovated - used for projects with </t>
    </r>
    <r>
      <rPr>
        <b/>
        <sz val="11"/>
        <color theme="1"/>
        <rFont val="Calibri"/>
        <family val="2"/>
        <scheme val="minor"/>
      </rPr>
      <t>Renovation</t>
    </r>
    <r>
      <rPr>
        <sz val="11"/>
        <color theme="1"/>
        <rFont val="Calibri"/>
        <family val="2"/>
        <scheme val="minor"/>
      </rPr>
      <t xml:space="preserve"> elements.</t>
    </r>
  </si>
  <si>
    <r>
      <t xml:space="preserve">Exterior circulation area of buildings to be renovated - used for projects with </t>
    </r>
    <r>
      <rPr>
        <b/>
        <sz val="11"/>
        <color theme="1"/>
        <rFont val="Calibri"/>
        <family val="2"/>
        <scheme val="minor"/>
      </rPr>
      <t>Renovation</t>
    </r>
    <r>
      <rPr>
        <sz val="11"/>
        <color theme="1"/>
        <rFont val="Calibri"/>
        <family val="2"/>
        <scheme val="minor"/>
      </rPr>
      <t xml:space="preserve"> elements.</t>
    </r>
  </si>
  <si>
    <r>
      <t xml:space="preserve">Exterior circulation area allowance for </t>
    </r>
    <r>
      <rPr>
        <b/>
        <sz val="11"/>
        <color theme="1"/>
        <rFont val="Calibri"/>
        <family val="2"/>
        <scheme val="minor"/>
      </rPr>
      <t>Renovation</t>
    </r>
    <r>
      <rPr>
        <sz val="11"/>
        <color theme="1"/>
        <rFont val="Calibri"/>
        <family val="2"/>
        <scheme val="minor"/>
      </rPr>
      <t xml:space="preserve"> elements</t>
    </r>
  </si>
  <si>
    <t>Area allowance</t>
  </si>
  <si>
    <t>Length of qualifiying exterior walls in feet</t>
  </si>
  <si>
    <r>
      <t xml:space="preserve">Exterior circulation area of buildings to be replaced - used for projects with </t>
    </r>
    <r>
      <rPr>
        <b/>
        <sz val="11"/>
        <color theme="1"/>
        <rFont val="Calibri"/>
        <family val="2"/>
        <scheme val="minor"/>
      </rPr>
      <t>Replacement</t>
    </r>
    <r>
      <rPr>
        <sz val="11"/>
        <color theme="1"/>
        <rFont val="Calibri"/>
        <family val="2"/>
        <scheme val="minor"/>
      </rPr>
      <t xml:space="preserve"> elements.</t>
    </r>
  </si>
  <si>
    <r>
      <t xml:space="preserve">Exterior circulation area allowance for </t>
    </r>
    <r>
      <rPr>
        <b/>
        <sz val="11"/>
        <color theme="1"/>
        <rFont val="Calibri"/>
        <family val="2"/>
        <scheme val="minor"/>
      </rPr>
      <t xml:space="preserve">Replacement </t>
    </r>
    <r>
      <rPr>
        <sz val="11"/>
        <color theme="1"/>
        <rFont val="Calibri"/>
        <family val="2"/>
        <scheme val="minor"/>
      </rPr>
      <t>elements</t>
    </r>
  </si>
  <si>
    <r>
      <t xml:space="preserve">Area weighted FCS for </t>
    </r>
    <r>
      <rPr>
        <b/>
        <sz val="11"/>
        <color theme="1"/>
        <rFont val="Calibri"/>
        <family val="2"/>
        <scheme val="minor"/>
      </rPr>
      <t xml:space="preserve">Replacement </t>
    </r>
    <r>
      <rPr>
        <sz val="11"/>
        <color theme="1"/>
        <rFont val="Calibri"/>
        <family val="2"/>
        <scheme val="minor"/>
      </rPr>
      <t>portion of project.</t>
    </r>
  </si>
  <si>
    <r>
      <t xml:space="preserve">Building Age for </t>
    </r>
    <r>
      <rPr>
        <b/>
        <sz val="11"/>
        <color theme="1"/>
        <rFont val="Calibri"/>
        <family val="2"/>
        <scheme val="minor"/>
      </rPr>
      <t>Replacement</t>
    </r>
    <r>
      <rPr>
        <sz val="11"/>
        <color theme="1"/>
        <rFont val="Calibri"/>
        <family val="2"/>
        <scheme val="minor"/>
      </rPr>
      <t xml:space="preserve"> portion of project</t>
    </r>
  </si>
  <si>
    <t>Fall 2016 Type 1 FTE</t>
  </si>
  <si>
    <t>Fall 2026 Type 1 FTE</t>
  </si>
  <si>
    <t>State Board enrollment projections are available here -</t>
  </si>
  <si>
    <t>http://www.ofm.wa.gov/budget/facilities/fis.asp</t>
  </si>
  <si>
    <t>Fall 2016 Utilization</t>
  </si>
  <si>
    <r>
      <rPr>
        <b/>
        <sz val="11"/>
        <color theme="1"/>
        <rFont val="Calibri"/>
        <family val="2"/>
        <scheme val="minor"/>
      </rPr>
      <t>Fall 2016 Utilization</t>
    </r>
    <r>
      <rPr>
        <sz val="11"/>
        <color theme="1"/>
        <rFont val="Calibri"/>
        <family val="2"/>
        <scheme val="minor"/>
      </rPr>
      <t xml:space="preserve"> - used in Overarching Criteria for all projects. See Appendix C.</t>
    </r>
  </si>
  <si>
    <t>Classes</t>
  </si>
  <si>
    <t>Labs</t>
  </si>
  <si>
    <t>Campus</t>
  </si>
  <si>
    <t>Contact Hours</t>
  </si>
  <si>
    <t>Work-stations</t>
  </si>
  <si>
    <t>This project net new Classroom workstations</t>
  </si>
  <si>
    <t>This project net new Laboratory workstations</t>
  </si>
  <si>
    <t>Net new workstations in project</t>
  </si>
  <si>
    <t>Future Utilization</t>
  </si>
  <si>
    <t>Net New Type 1 FTE</t>
  </si>
  <si>
    <r>
      <rPr>
        <b/>
        <sz val="11"/>
        <color theme="1"/>
        <rFont val="Calibri"/>
        <family val="2"/>
        <scheme val="minor"/>
      </rPr>
      <t>Future Utilization</t>
    </r>
    <r>
      <rPr>
        <sz val="11"/>
        <color theme="1"/>
        <rFont val="Calibri"/>
        <family val="2"/>
        <scheme val="minor"/>
      </rPr>
      <t xml:space="preserve"> - use for projects with net </t>
    </r>
    <r>
      <rPr>
        <b/>
        <sz val="11"/>
        <color theme="1"/>
        <rFont val="Calibri"/>
        <family val="2"/>
        <scheme val="minor"/>
      </rPr>
      <t>New Area</t>
    </r>
    <r>
      <rPr>
        <sz val="11"/>
        <color theme="1"/>
        <rFont val="Calibri"/>
        <family val="2"/>
        <scheme val="minor"/>
      </rPr>
      <t>. See Appendix D.</t>
    </r>
  </si>
  <si>
    <t xml:space="preserve">The following data is based on the December 2016 Global Insight forecast for state and local government spending and is to be used for adjusting the expected costs from July 1, 2008, to the mid-construction date for comparison to project estimates. </t>
  </si>
  <si>
    <t>Exterior Circulation Allowance (included in New Space above)</t>
  </si>
  <si>
    <t>Effective use of existing facilities based on current utilization</t>
  </si>
  <si>
    <t>All matching funds available at time proposal is submitted.</t>
  </si>
  <si>
    <t>All matching funds will be raised before construction is completed.</t>
  </si>
  <si>
    <t>Matching funds will continue to be raised after construction is completed.</t>
  </si>
  <si>
    <t>Efficient use of space – future utilitzation</t>
  </si>
  <si>
    <t>Calculated based on Project data</t>
  </si>
  <si>
    <t>If Lab utilization will be at least 15 but less than 17 and Class utilization was at least 21 but less than 23</t>
  </si>
  <si>
    <t>If Lab utilization was at least 12 but less than 15 and Class utilization was at least 19 but less than 21</t>
  </si>
  <si>
    <t>If either Lab utilization will be more than 17 or Class utilization will be more than 23</t>
  </si>
  <si>
    <t>If either Lab utilization will be less than 12 or Class utilization will be less than 19</t>
  </si>
  <si>
    <t>Max 17</t>
  </si>
  <si>
    <t>Calculated from My Project Renovation elements</t>
  </si>
  <si>
    <t>Calculated from My Project Replacement elements</t>
  </si>
  <si>
    <t xml:space="preserve">   Enrollment Projection</t>
  </si>
  <si>
    <t xml:space="preserve">   Net new classroom and laboratory workstations in project</t>
  </si>
  <si>
    <t xml:space="preserve">  The length of exterior walls that qualify for circulation space allowance</t>
  </si>
  <si>
    <r>
      <t xml:space="preserve">For projects with </t>
    </r>
    <r>
      <rPr>
        <b/>
        <sz val="11"/>
        <color theme="1"/>
        <rFont val="Calibri"/>
        <family val="2"/>
        <scheme val="minor"/>
      </rPr>
      <t>New Area</t>
    </r>
    <r>
      <rPr>
        <sz val="11"/>
        <color theme="1"/>
        <rFont val="Calibri"/>
        <family val="2"/>
        <scheme val="minor"/>
      </rPr>
      <t xml:space="preserve"> -</t>
    </r>
  </si>
  <si>
    <r>
      <t xml:space="preserve">For projects with </t>
    </r>
    <r>
      <rPr>
        <b/>
        <sz val="11"/>
        <color theme="1"/>
        <rFont val="Calibri"/>
        <family val="2"/>
        <scheme val="minor"/>
      </rPr>
      <t>Replacement</t>
    </r>
    <r>
      <rPr>
        <sz val="11"/>
        <color theme="1"/>
        <rFont val="Calibri"/>
        <family val="2"/>
        <scheme val="minor"/>
      </rPr>
      <t xml:space="preserve"> area -</t>
    </r>
  </si>
  <si>
    <r>
      <t xml:space="preserve">For projects with </t>
    </r>
    <r>
      <rPr>
        <b/>
        <sz val="11"/>
        <color theme="1"/>
        <rFont val="Calibri"/>
        <family val="2"/>
        <scheme val="minor"/>
      </rPr>
      <t>Renovation</t>
    </r>
    <r>
      <rPr>
        <sz val="11"/>
        <color theme="1"/>
        <rFont val="Calibri"/>
        <family val="2"/>
        <scheme val="minor"/>
      </rPr>
      <t xml:space="preserve"> area -</t>
    </r>
  </si>
  <si>
    <r>
      <t xml:space="preserve">Area weighted FCS for </t>
    </r>
    <r>
      <rPr>
        <b/>
        <sz val="11"/>
        <color theme="1"/>
        <rFont val="Calibri"/>
        <family val="2"/>
        <scheme val="minor"/>
      </rPr>
      <t>Renovation</t>
    </r>
    <r>
      <rPr>
        <sz val="11"/>
        <color theme="1"/>
        <rFont val="Calibri"/>
        <family val="2"/>
        <scheme val="minor"/>
      </rPr>
      <t xml:space="preserve"> portion of project.</t>
    </r>
  </si>
  <si>
    <r>
      <t xml:space="preserve">Scores calculated from the Project and Expected Costs are in the </t>
    </r>
    <r>
      <rPr>
        <b/>
        <sz val="11"/>
        <color rgb="FFFF0000"/>
        <rFont val="Calibri"/>
        <family val="2"/>
        <scheme val="minor"/>
      </rPr>
      <t>red</t>
    </r>
    <r>
      <rPr>
        <sz val="11"/>
        <color theme="1"/>
        <rFont val="Calibri"/>
        <family val="2"/>
        <scheme val="minor"/>
      </rPr>
      <t xml:space="preserve"> shaded cells.</t>
    </r>
  </si>
  <si>
    <r>
      <t xml:space="preserve">Expected score for each criteria can be entered in the </t>
    </r>
    <r>
      <rPr>
        <b/>
        <sz val="11"/>
        <color theme="6" tint="-0.249977111117893"/>
        <rFont val="Calibri"/>
        <family val="2"/>
        <scheme val="minor"/>
      </rPr>
      <t>green</t>
    </r>
    <r>
      <rPr>
        <sz val="11"/>
        <color theme="1"/>
        <rFont val="Calibri"/>
        <family val="2"/>
        <scheme val="minor"/>
      </rPr>
      <t xml:space="preserve"> shaded cells.</t>
    </r>
  </si>
  <si>
    <r>
      <t xml:space="preserve">Criteria applicable to the project are shaded </t>
    </r>
    <r>
      <rPr>
        <b/>
        <sz val="11"/>
        <color theme="6" tint="-0.249977111117893"/>
        <rFont val="Calibri"/>
        <family val="2"/>
        <scheme val="minor"/>
      </rPr>
      <t>green</t>
    </r>
    <r>
      <rPr>
        <sz val="11"/>
        <color theme="1"/>
        <rFont val="Calibri"/>
        <family val="2"/>
        <scheme val="minor"/>
      </rPr>
      <t xml:space="preserve"> or </t>
    </r>
    <r>
      <rPr>
        <b/>
        <sz val="11"/>
        <color rgb="FFFF0000"/>
        <rFont val="Calibri"/>
        <family val="2"/>
        <scheme val="minor"/>
      </rPr>
      <t>red</t>
    </r>
    <r>
      <rPr>
        <sz val="11"/>
        <color theme="1"/>
        <rFont val="Calibri"/>
        <family val="2"/>
        <scheme val="minor"/>
      </rPr>
      <t xml:space="preserve"> when the Category applies to My Project.</t>
    </r>
  </si>
  <si>
    <r>
      <t xml:space="preserve">Inputs are only needed in </t>
    </r>
    <r>
      <rPr>
        <b/>
        <sz val="18"/>
        <color theme="6" tint="-0.249977111117893"/>
        <rFont val="Calibri"/>
        <family val="2"/>
        <scheme val="minor"/>
      </rPr>
      <t>green</t>
    </r>
    <r>
      <rPr>
        <sz val="18"/>
        <color theme="1"/>
        <rFont val="Calibri"/>
        <family val="2"/>
        <scheme val="minor"/>
      </rPr>
      <t xml:space="preserve"> shaded cells based on My Project data.</t>
    </r>
  </si>
  <si>
    <t>Max 18</t>
  </si>
  <si>
    <t>Initial release: April 14, 2017</t>
  </si>
  <si>
    <t xml:space="preserve">Update: May 24, 2017 corrected note on the Consolidated Score Sheet about max points available for project feasibility in Matching category. </t>
  </si>
  <si>
    <t>S6</t>
  </si>
  <si>
    <t>Update: October 24, 2017 corrected Paremeters tab to account for circulation area allowance.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</si>
</sst>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_(#0.00_)&quot;                                                                                                       &quot;"/>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i/>
      <sz val="11"/>
      <color theme="1"/>
      <name val="Calibri"/>
      <family val="2"/>
      <scheme val="minor"/>
    </font>
    <font>
      <sz val="10"/>
      <color theme="1"/>
      <name val="Calibri"/>
      <family val="2"/>
      <scheme val="minor"/>
    </font>
    <font>
      <b/>
      <sz val="10"/>
      <color rgb="FF000000"/>
      <name val="Calibri"/>
      <family val="2"/>
    </font>
    <font>
      <sz val="10"/>
      <color rgb="FF000000"/>
      <name val="Calibri"/>
      <family val="2"/>
    </font>
    <font>
      <b/>
      <sz val="11"/>
      <color rgb="FFFF0000"/>
      <name val="Calibri"/>
      <family val="2"/>
      <scheme val="minor"/>
    </font>
    <font>
      <sz val="9"/>
      <color indexed="81"/>
      <name val="Tahoma"/>
      <family val="2"/>
    </font>
    <font>
      <b/>
      <sz val="9"/>
      <color indexed="81"/>
      <name val="Tahoma"/>
      <family val="2"/>
    </font>
    <font>
      <u/>
      <sz val="11"/>
      <color theme="10"/>
      <name val="Calibri"/>
      <family val="2"/>
      <scheme val="minor"/>
    </font>
    <font>
      <b/>
      <sz val="11"/>
      <color theme="6" tint="-0.249977111117893"/>
      <name val="Calibri"/>
      <family val="2"/>
      <scheme val="minor"/>
    </font>
    <font>
      <sz val="18"/>
      <color theme="1"/>
      <name val="Calibri"/>
      <family val="2"/>
      <scheme val="minor"/>
    </font>
    <font>
      <b/>
      <sz val="18"/>
      <color theme="6"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26">
    <border>
      <left/>
      <right/>
      <top/>
      <bottom/>
      <diagonal/>
    </border>
    <border>
      <left/>
      <right/>
      <top/>
      <bottom style="thin">
        <color indexed="64"/>
      </bottom>
      <diagonal/>
    </border>
    <border>
      <left style="thin">
        <color auto="1"/>
      </left>
      <right style="thin">
        <color auto="1"/>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auto="1"/>
      </left>
      <right style="thin">
        <color indexed="64"/>
      </right>
      <top/>
      <bottom style="thin">
        <color indexed="64"/>
      </bottom>
      <diagonal/>
    </border>
    <border>
      <left/>
      <right/>
      <top style="thin">
        <color theme="0" tint="-0.24994659260841701"/>
      </top>
      <bottom/>
      <diagonal/>
    </border>
    <border>
      <left/>
      <right/>
      <top style="thin">
        <color theme="0" tint="-0.24994659260841701"/>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256">
    <xf numFmtId="0" fontId="0" fillId="0" borderId="0" xfId="0"/>
    <xf numFmtId="0" fontId="3" fillId="0" borderId="0" xfId="0" applyFont="1" applyAlignment="1">
      <alignment vertical="top"/>
    </xf>
    <xf numFmtId="0" fontId="0" fillId="0" borderId="0" xfId="0" applyAlignment="1">
      <alignment vertical="top"/>
    </xf>
    <xf numFmtId="2" fontId="3" fillId="0" borderId="0" xfId="0" applyNumberFormat="1" applyFont="1" applyAlignment="1">
      <alignment horizontal="center" vertical="top"/>
    </xf>
    <xf numFmtId="2" fontId="3" fillId="0" borderId="0" xfId="0" applyNumberFormat="1" applyFont="1" applyAlignment="1">
      <alignment vertical="top"/>
    </xf>
    <xf numFmtId="0" fontId="3" fillId="0" borderId="0" xfId="0" applyFont="1" applyAlignment="1">
      <alignment horizontal="center"/>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Border="1" applyAlignment="1">
      <alignment horizontal="center" wrapText="1"/>
    </xf>
    <xf numFmtId="0" fontId="0" fillId="0" borderId="0" xfId="0" applyBorder="1"/>
    <xf numFmtId="2"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2" fontId="0" fillId="2" borderId="0" xfId="3" applyNumberFormat="1" applyFont="1" applyFill="1" applyBorder="1" applyAlignment="1">
      <alignment horizontal="center"/>
    </xf>
    <xf numFmtId="1" fontId="0" fillId="0" borderId="0" xfId="3" applyNumberFormat="1" applyFont="1" applyBorder="1" applyAlignment="1">
      <alignment horizontal="center"/>
    </xf>
    <xf numFmtId="9" fontId="0" fillId="0" borderId="0" xfId="3" applyFont="1" applyBorder="1" applyAlignment="1">
      <alignment horizontal="center"/>
    </xf>
    <xf numFmtId="1" fontId="0" fillId="0" borderId="0" xfId="0" applyNumberFormat="1" applyBorder="1" applyAlignment="1">
      <alignment horizontal="center"/>
    </xf>
    <xf numFmtId="0" fontId="0" fillId="0" borderId="0" xfId="0" applyAlignment="1">
      <alignment horizontal="right"/>
    </xf>
    <xf numFmtId="164" fontId="0" fillId="0" borderId="0" xfId="1" applyNumberFormat="1" applyFont="1"/>
    <xf numFmtId="9" fontId="0" fillId="0" borderId="0" xfId="3" applyFont="1"/>
    <xf numFmtId="164" fontId="0" fillId="0" borderId="0" xfId="1" applyNumberFormat="1" applyFont="1" applyBorder="1"/>
    <xf numFmtId="164" fontId="0" fillId="0" borderId="0" xfId="0" applyNumberFormat="1"/>
    <xf numFmtId="0" fontId="3" fillId="0" borderId="0" xfId="0" applyFont="1"/>
    <xf numFmtId="0" fontId="3" fillId="0" borderId="0" xfId="0" applyFont="1" applyFill="1" applyAlignment="1">
      <alignment vertical="top"/>
    </xf>
    <xf numFmtId="0" fontId="3" fillId="0" borderId="0" xfId="0" applyFont="1" applyFill="1" applyAlignment="1">
      <alignment vertical="top" wrapText="1"/>
    </xf>
    <xf numFmtId="0" fontId="3" fillId="0" borderId="0" xfId="0" applyFont="1" applyFill="1" applyAlignment="1">
      <alignment horizontal="center" vertical="top" wrapText="1"/>
    </xf>
    <xf numFmtId="0" fontId="3" fillId="0" borderId="0" xfId="0" applyFont="1" applyFill="1" applyAlignment="1">
      <alignment horizontal="center" vertical="top"/>
    </xf>
    <xf numFmtId="0" fontId="0" fillId="0" borderId="0" xfId="0" applyFill="1" applyAlignment="1">
      <alignment horizontal="center" vertical="top" wrapText="1"/>
    </xf>
    <xf numFmtId="0" fontId="0" fillId="0" borderId="0" xfId="0" applyFont="1" applyFill="1" applyAlignment="1">
      <alignment horizontal="right" vertical="top"/>
    </xf>
    <xf numFmtId="1" fontId="0" fillId="0" borderId="0" xfId="0" applyNumberFormat="1" applyFont="1" applyFill="1" applyAlignment="1">
      <alignment horizontal="center" vertical="top"/>
    </xf>
    <xf numFmtId="2" fontId="0" fillId="0" borderId="0" xfId="0" applyNumberFormat="1" applyFill="1" applyAlignment="1">
      <alignment horizontal="center" vertical="top"/>
    </xf>
    <xf numFmtId="0" fontId="3" fillId="0" borderId="0" xfId="0" applyFont="1" applyFill="1" applyAlignment="1">
      <alignment horizontal="right" vertical="top"/>
    </xf>
    <xf numFmtId="2" fontId="3" fillId="0" borderId="0" xfId="0" applyNumberFormat="1" applyFont="1" applyFill="1" applyAlignment="1">
      <alignment horizontal="center" vertical="top"/>
    </xf>
    <xf numFmtId="2" fontId="0" fillId="0" borderId="0" xfId="0" applyNumberFormat="1" applyFont="1" applyFill="1" applyAlignment="1">
      <alignment horizontal="center" vertical="top"/>
    </xf>
    <xf numFmtId="2" fontId="0" fillId="0" borderId="1" xfId="0" applyNumberFormat="1" applyFill="1" applyBorder="1" applyAlignment="1">
      <alignment horizontal="center" vertical="top"/>
    </xf>
    <xf numFmtId="0" fontId="0" fillId="0" borderId="9" xfId="0" applyFill="1" applyBorder="1" applyAlignment="1">
      <alignment vertical="top"/>
    </xf>
    <xf numFmtId="0" fontId="0" fillId="0" borderId="9" xfId="0" applyFill="1" applyBorder="1" applyAlignment="1">
      <alignment vertical="top" wrapText="1"/>
    </xf>
    <xf numFmtId="0" fontId="0" fillId="0" borderId="9" xfId="0" applyFill="1" applyBorder="1" applyAlignment="1">
      <alignment horizontal="center" vertical="top" wrapText="1"/>
    </xf>
    <xf numFmtId="0" fontId="0" fillId="0" borderId="9" xfId="0" applyFill="1" applyBorder="1" applyAlignment="1">
      <alignment horizontal="center" vertical="top"/>
    </xf>
    <xf numFmtId="0" fontId="0" fillId="0" borderId="13" xfId="0" applyFill="1" applyBorder="1" applyAlignment="1">
      <alignment vertical="top"/>
    </xf>
    <xf numFmtId="0" fontId="0" fillId="0" borderId="13"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horizontal="center" vertical="top"/>
    </xf>
    <xf numFmtId="164" fontId="0" fillId="0" borderId="9" xfId="1" applyNumberFormat="1" applyFont="1" applyFill="1" applyBorder="1" applyAlignment="1">
      <alignment horizontal="center" vertical="top" wrapText="1"/>
    </xf>
    <xf numFmtId="9" fontId="0" fillId="0" borderId="9" xfId="3" applyFont="1" applyFill="1" applyBorder="1" applyAlignment="1">
      <alignment horizontal="center" vertical="top" wrapText="1"/>
    </xf>
    <xf numFmtId="0" fontId="0" fillId="0" borderId="3" xfId="0" applyFont="1" applyBorder="1"/>
    <xf numFmtId="0" fontId="0" fillId="0" borderId="0" xfId="0" applyFont="1" applyFill="1" applyBorder="1" applyAlignment="1">
      <alignment vertical="top"/>
    </xf>
    <xf numFmtId="0" fontId="3" fillId="0" borderId="0" xfId="0" applyFont="1" applyFill="1" applyBorder="1" applyAlignment="1">
      <alignmen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center" vertical="top"/>
    </xf>
    <xf numFmtId="0" fontId="0" fillId="0" borderId="0" xfId="0" applyFill="1" applyBorder="1" applyAlignment="1">
      <alignment vertical="top"/>
    </xf>
    <xf numFmtId="0" fontId="0" fillId="0" borderId="0" xfId="0" applyFont="1" applyBorder="1" applyAlignment="1">
      <alignment vertical="top"/>
    </xf>
    <xf numFmtId="0" fontId="0" fillId="0" borderId="0" xfId="0" applyFont="1" applyBorder="1" applyAlignment="1">
      <alignment horizontal="right" vertical="top"/>
    </xf>
    <xf numFmtId="1" fontId="0" fillId="0" borderId="0" xfId="0" applyNumberFormat="1" applyFont="1" applyBorder="1" applyAlignment="1">
      <alignment horizontal="center" vertical="top"/>
    </xf>
    <xf numFmtId="0" fontId="3" fillId="0" borderId="0" xfId="0" applyFont="1" applyFill="1" applyBorder="1" applyAlignment="1">
      <alignment vertical="top"/>
    </xf>
    <xf numFmtId="0" fontId="0" fillId="0" borderId="0" xfId="0" applyBorder="1" applyAlignment="1">
      <alignment vertical="top"/>
    </xf>
    <xf numFmtId="2" fontId="0" fillId="0" borderId="0" xfId="0" applyNumberFormat="1" applyBorder="1" applyAlignment="1">
      <alignment horizontal="center" vertical="top"/>
    </xf>
    <xf numFmtId="0" fontId="3" fillId="0" borderId="0" xfId="0" applyFont="1" applyBorder="1" applyAlignment="1">
      <alignment horizontal="right" vertical="top"/>
    </xf>
    <xf numFmtId="2" fontId="3" fillId="0" borderId="0" xfId="0" applyNumberFormat="1" applyFont="1" applyBorder="1" applyAlignment="1">
      <alignment horizontal="center" vertical="top"/>
    </xf>
    <xf numFmtId="0" fontId="3" fillId="0" borderId="0" xfId="0" applyFont="1" applyBorder="1" applyAlignment="1">
      <alignment vertical="top"/>
    </xf>
    <xf numFmtId="0" fontId="0" fillId="0" borderId="9" xfId="0" applyBorder="1" applyAlignment="1">
      <alignment horizontal="center"/>
    </xf>
    <xf numFmtId="0" fontId="0" fillId="0" borderId="9" xfId="0" applyBorder="1"/>
    <xf numFmtId="0" fontId="0" fillId="0" borderId="9" xfId="0" applyFont="1" applyBorder="1" applyAlignment="1">
      <alignment vertical="top"/>
    </xf>
    <xf numFmtId="0" fontId="0" fillId="0" borderId="9" xfId="0" applyBorder="1" applyAlignment="1">
      <alignment vertical="top"/>
    </xf>
    <xf numFmtId="0" fontId="0" fillId="0" borderId="13" xfId="0" applyBorder="1" applyAlignment="1">
      <alignment vertical="top"/>
    </xf>
    <xf numFmtId="0" fontId="0" fillId="0" borderId="13" xfId="0" applyBorder="1"/>
    <xf numFmtId="0" fontId="0" fillId="0" borderId="13" xfId="0" applyBorder="1" applyAlignment="1">
      <alignment horizontal="center"/>
    </xf>
    <xf numFmtId="0" fontId="0" fillId="0" borderId="13" xfId="0" applyFont="1" applyBorder="1" applyAlignment="1">
      <alignment vertical="top"/>
    </xf>
    <xf numFmtId="0" fontId="2" fillId="0" borderId="0" xfId="0" applyFont="1" applyAlignment="1">
      <alignment wrapText="1"/>
    </xf>
    <xf numFmtId="0" fontId="0" fillId="0" borderId="15" xfId="0" applyBorder="1" applyAlignment="1">
      <alignment horizontal="center"/>
    </xf>
    <xf numFmtId="0" fontId="0" fillId="0" borderId="15" xfId="0" applyBorder="1"/>
    <xf numFmtId="0" fontId="0" fillId="0" borderId="6" xfId="0" applyFont="1" applyFill="1" applyBorder="1" applyAlignment="1">
      <alignment vertical="top"/>
    </xf>
    <xf numFmtId="0" fontId="0" fillId="0" borderId="7" xfId="0" applyFont="1" applyBorder="1"/>
    <xf numFmtId="0" fontId="0" fillId="0" borderId="7" xfId="0" applyBorder="1" applyAlignment="1">
      <alignment horizontal="center"/>
    </xf>
    <xf numFmtId="0" fontId="0" fillId="0" borderId="7" xfId="0" applyBorder="1"/>
    <xf numFmtId="0" fontId="3" fillId="0" borderId="16" xfId="0" applyFont="1" applyFill="1" applyBorder="1" applyAlignment="1">
      <alignment horizontal="center" vertical="top"/>
    </xf>
    <xf numFmtId="0" fontId="0" fillId="0" borderId="8" xfId="0" applyFont="1" applyFill="1" applyBorder="1" applyAlignment="1">
      <alignment vertical="top"/>
    </xf>
    <xf numFmtId="0" fontId="0" fillId="0" borderId="11" xfId="0" applyBorder="1" applyAlignment="1">
      <alignment horizontal="center" vertical="top"/>
    </xf>
    <xf numFmtId="0" fontId="0" fillId="0" borderId="12" xfId="0" applyFont="1" applyFill="1" applyBorder="1" applyAlignment="1">
      <alignment vertical="top"/>
    </xf>
    <xf numFmtId="0" fontId="0" fillId="0" borderId="17" xfId="0" applyBorder="1" applyAlignment="1">
      <alignment horizontal="center" vertical="top"/>
    </xf>
    <xf numFmtId="0" fontId="0" fillId="0" borderId="15" xfId="0" applyFill="1" applyBorder="1" applyAlignment="1">
      <alignment vertical="top"/>
    </xf>
    <xf numFmtId="0" fontId="0" fillId="0" borderId="15" xfId="0" applyFill="1" applyBorder="1" applyAlignment="1">
      <alignment vertical="top" wrapText="1"/>
    </xf>
    <xf numFmtId="0" fontId="0" fillId="0" borderId="15" xfId="0" applyFill="1" applyBorder="1" applyAlignment="1">
      <alignment horizontal="center" vertical="top" wrapText="1"/>
    </xf>
    <xf numFmtId="0" fontId="0" fillId="0" borderId="15" xfId="0" applyFill="1" applyBorder="1" applyAlignment="1">
      <alignment horizontal="center" vertical="top"/>
    </xf>
    <xf numFmtId="0" fontId="0" fillId="0" borderId="6" xfId="0" applyFill="1" applyBorder="1" applyAlignment="1">
      <alignment vertical="top"/>
    </xf>
    <xf numFmtId="0" fontId="0" fillId="0" borderId="7" xfId="0" applyFill="1" applyBorder="1" applyAlignment="1">
      <alignment vertical="top"/>
    </xf>
    <xf numFmtId="0" fontId="0" fillId="0" borderId="7" xfId="0" applyFill="1" applyBorder="1" applyAlignment="1">
      <alignment horizontal="center" vertical="top" wrapText="1"/>
    </xf>
    <xf numFmtId="0" fontId="0" fillId="0" borderId="7" xfId="0" applyFill="1" applyBorder="1" applyAlignment="1">
      <alignment horizontal="center" vertical="top"/>
    </xf>
    <xf numFmtId="0" fontId="0" fillId="0" borderId="16" xfId="0" applyFill="1" applyBorder="1" applyAlignment="1">
      <alignment horizontal="center" vertical="top"/>
    </xf>
    <xf numFmtId="0" fontId="0" fillId="0" borderId="8" xfId="0" applyFill="1" applyBorder="1" applyAlignment="1">
      <alignment vertical="top"/>
    </xf>
    <xf numFmtId="0" fontId="0" fillId="0" borderId="11" xfId="0" applyFill="1" applyBorder="1" applyAlignment="1">
      <alignment horizontal="center" vertical="top"/>
    </xf>
    <xf numFmtId="0" fontId="0" fillId="0" borderId="12" xfId="0" applyFill="1" applyBorder="1" applyAlignment="1">
      <alignment vertical="top"/>
    </xf>
    <xf numFmtId="0" fontId="0" fillId="0" borderId="17" xfId="0" applyFill="1" applyBorder="1" applyAlignment="1">
      <alignment horizontal="center" vertical="top"/>
    </xf>
    <xf numFmtId="0" fontId="0" fillId="0" borderId="4"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top" wrapText="1"/>
    </xf>
    <xf numFmtId="0" fontId="0" fillId="0" borderId="5" xfId="0" applyFill="1" applyBorder="1" applyAlignment="1">
      <alignment horizontal="center" vertical="top" wrapText="1"/>
    </xf>
    <xf numFmtId="0" fontId="0" fillId="0" borderId="5" xfId="0" applyFill="1" applyBorder="1" applyAlignment="1">
      <alignment horizontal="center" vertical="top"/>
    </xf>
    <xf numFmtId="0" fontId="0" fillId="0" borderId="18" xfId="0" applyFill="1" applyBorder="1" applyAlignment="1">
      <alignment horizontal="center" vertical="top"/>
    </xf>
    <xf numFmtId="0" fontId="4" fillId="0" borderId="13" xfId="0" applyFont="1" applyFill="1" applyBorder="1" applyAlignment="1">
      <alignment vertical="top" wrapText="1"/>
    </xf>
    <xf numFmtId="0" fontId="4" fillId="0" borderId="13" xfId="0" applyFont="1" applyFill="1" applyBorder="1" applyAlignment="1">
      <alignment horizontal="center" vertical="top" wrapText="1"/>
    </xf>
    <xf numFmtId="0" fontId="3" fillId="0" borderId="7" xfId="0" applyFont="1" applyFill="1" applyBorder="1" applyAlignment="1">
      <alignment horizontal="center" wrapText="1"/>
    </xf>
    <xf numFmtId="0" fontId="3" fillId="0" borderId="7" xfId="0" applyFont="1" applyFill="1" applyBorder="1" applyAlignment="1">
      <alignment horizontal="center"/>
    </xf>
    <xf numFmtId="164" fontId="0" fillId="0" borderId="13" xfId="1" applyNumberFormat="1" applyFont="1" applyFill="1" applyBorder="1" applyAlignment="1">
      <alignment horizontal="center" vertical="top" wrapText="1"/>
    </xf>
    <xf numFmtId="9" fontId="0" fillId="0" borderId="13" xfId="3" applyFont="1" applyFill="1" applyBorder="1" applyAlignment="1">
      <alignment horizontal="center" vertical="top" wrapText="1"/>
    </xf>
    <xf numFmtId="164" fontId="0" fillId="0" borderId="15" xfId="1" applyNumberFormat="1" applyFont="1" applyFill="1" applyBorder="1" applyAlignment="1">
      <alignment horizontal="center" vertical="top" wrapText="1"/>
    </xf>
    <xf numFmtId="9" fontId="0" fillId="0" borderId="15" xfId="3" applyFont="1" applyFill="1" applyBorder="1" applyAlignment="1">
      <alignment horizontal="center" vertical="top" wrapText="1"/>
    </xf>
    <xf numFmtId="164" fontId="0" fillId="0" borderId="7" xfId="1" applyNumberFormat="1" applyFont="1" applyFill="1" applyBorder="1" applyAlignment="1">
      <alignment horizontal="center" vertical="top" wrapText="1"/>
    </xf>
    <xf numFmtId="164" fontId="0" fillId="3" borderId="9" xfId="1" applyNumberFormat="1" applyFont="1" applyFill="1" applyBorder="1"/>
    <xf numFmtId="9" fontId="0" fillId="0" borderId="9" xfId="3" applyFont="1" applyBorder="1"/>
    <xf numFmtId="164" fontId="0" fillId="3" borderId="13" xfId="1" applyNumberFormat="1" applyFont="1" applyFill="1" applyBorder="1"/>
    <xf numFmtId="9" fontId="0" fillId="0" borderId="13" xfId="3" applyFont="1" applyBorder="1"/>
    <xf numFmtId="164" fontId="0" fillId="0" borderId="9" xfId="1" applyNumberFormat="1" applyFont="1" applyBorder="1"/>
    <xf numFmtId="164" fontId="0" fillId="0" borderId="13" xfId="1" applyNumberFormat="1" applyFont="1" applyBorder="1"/>
    <xf numFmtId="0" fontId="5" fillId="0" borderId="7" xfId="0" applyFont="1" applyBorder="1" applyAlignment="1">
      <alignment horizontal="center"/>
    </xf>
    <xf numFmtId="0" fontId="0" fillId="0" borderId="19" xfId="0" applyFill="1" applyBorder="1" applyAlignment="1">
      <alignment vertical="top"/>
    </xf>
    <xf numFmtId="0" fontId="0" fillId="0" borderId="20" xfId="0" applyFill="1" applyBorder="1" applyAlignment="1">
      <alignment horizontal="center" vertical="top"/>
    </xf>
    <xf numFmtId="0" fontId="5" fillId="0" borderId="7" xfId="0" applyFont="1" applyFill="1" applyBorder="1" applyAlignment="1">
      <alignment horizontal="center" vertical="top" wrapText="1"/>
    </xf>
    <xf numFmtId="0" fontId="2" fillId="0" borderId="0" xfId="0" applyFont="1" applyAlignment="1"/>
    <xf numFmtId="0" fontId="0" fillId="3" borderId="9" xfId="0" applyFill="1" applyBorder="1" applyAlignment="1">
      <alignment horizontal="center" vertical="top"/>
    </xf>
    <xf numFmtId="0" fontId="0" fillId="3" borderId="13" xfId="0" applyFill="1" applyBorder="1" applyAlignment="1">
      <alignment horizontal="center" vertical="top"/>
    </xf>
    <xf numFmtId="0" fontId="0" fillId="0" borderId="0" xfId="0" applyFont="1" applyAlignment="1"/>
    <xf numFmtId="0" fontId="0" fillId="0" borderId="0" xfId="0" applyFont="1"/>
    <xf numFmtId="0" fontId="0" fillId="0" borderId="0" xfId="0" applyFont="1" applyAlignment="1">
      <alignment horizontal="left" wrapText="1"/>
    </xf>
    <xf numFmtId="0" fontId="3" fillId="0" borderId="14" xfId="0" applyFont="1" applyBorder="1" applyAlignment="1"/>
    <xf numFmtId="0" fontId="3" fillId="0" borderId="14" xfId="0" applyFont="1" applyBorder="1" applyAlignment="1">
      <alignment horizontal="center" wrapText="1"/>
    </xf>
    <xf numFmtId="0" fontId="3" fillId="0" borderId="2" xfId="0" applyFont="1" applyBorder="1" applyAlignment="1">
      <alignment horizontal="center" wrapText="1"/>
    </xf>
    <xf numFmtId="0" fontId="6" fillId="0" borderId="14" xfId="0" applyFont="1" applyBorder="1" applyAlignment="1">
      <alignment vertical="center"/>
    </xf>
    <xf numFmtId="6" fontId="6" fillId="0" borderId="14" xfId="0" applyNumberFormat="1" applyFont="1" applyBorder="1" applyAlignment="1">
      <alignment horizontal="center" vertical="center" wrapText="1"/>
    </xf>
    <xf numFmtId="6" fontId="0" fillId="0" borderId="14" xfId="0" applyNumberFormat="1" applyFont="1" applyBorder="1" applyAlignment="1">
      <alignment horizontal="center"/>
    </xf>
    <xf numFmtId="165" fontId="0" fillId="0" borderId="4" xfId="2" applyNumberFormat="1" applyFont="1" applyBorder="1"/>
    <xf numFmtId="0" fontId="0" fillId="0" borderId="2" xfId="0" applyFont="1" applyBorder="1"/>
    <xf numFmtId="165" fontId="0" fillId="0" borderId="22" xfId="2" applyNumberFormat="1" applyFont="1" applyBorder="1"/>
    <xf numFmtId="0" fontId="0" fillId="0" borderId="23" xfId="0" applyFont="1" applyBorder="1"/>
    <xf numFmtId="164" fontId="3" fillId="0" borderId="23" xfId="1" applyNumberFormat="1" applyFont="1" applyBorder="1"/>
    <xf numFmtId="165" fontId="3" fillId="0" borderId="23" xfId="2" applyNumberFormat="1" applyFont="1" applyBorder="1"/>
    <xf numFmtId="165" fontId="3" fillId="0" borderId="14" xfId="0" applyNumberFormat="1" applyFont="1" applyBorder="1"/>
    <xf numFmtId="14" fontId="0" fillId="3" borderId="0" xfId="0" applyNumberFormat="1" applyFont="1" applyFill="1"/>
    <xf numFmtId="164" fontId="0" fillId="3" borderId="14" xfId="0" applyNumberFormat="1" applyFont="1" applyFill="1" applyBorder="1"/>
    <xf numFmtId="164" fontId="0" fillId="3" borderId="21" xfId="0" applyNumberFormat="1" applyFont="1" applyFill="1" applyBorder="1"/>
    <xf numFmtId="0" fontId="7"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166" fontId="8" fillId="0" borderId="10" xfId="0" applyNumberFormat="1" applyFont="1" applyBorder="1" applyAlignment="1">
      <alignment horizontal="center" vertical="center" wrapText="1"/>
    </xf>
    <xf numFmtId="0" fontId="3" fillId="0" borderId="0" xfId="0" applyFont="1" applyAlignment="1"/>
    <xf numFmtId="9" fontId="3" fillId="0" borderId="23" xfId="0" applyNumberFormat="1" applyFont="1" applyBorder="1" applyAlignment="1">
      <alignment horizontal="center"/>
    </xf>
    <xf numFmtId="9" fontId="3" fillId="0" borderId="14" xfId="0" applyNumberFormat="1" applyFont="1" applyBorder="1" applyAlignment="1">
      <alignment horizontal="center"/>
    </xf>
    <xf numFmtId="165" fontId="3" fillId="0" borderId="23" xfId="2" applyNumberFormat="1" applyFont="1" applyBorder="1" applyAlignment="1">
      <alignment horizontal="center"/>
    </xf>
    <xf numFmtId="165" fontId="3" fillId="0" borderId="14" xfId="2" applyNumberFormat="1" applyFont="1" applyBorder="1" applyAlignment="1">
      <alignment horizontal="center"/>
    </xf>
    <xf numFmtId="0" fontId="3" fillId="0" borderId="0" xfId="0" applyFont="1" applyAlignment="1">
      <alignment horizontal="left"/>
    </xf>
    <xf numFmtId="164" fontId="0" fillId="0" borderId="15" xfId="1" applyNumberFormat="1" applyFont="1" applyBorder="1"/>
    <xf numFmtId="9" fontId="0" fillId="0" borderId="15" xfId="3" applyFont="1" applyBorder="1"/>
    <xf numFmtId="164" fontId="0" fillId="0" borderId="9" xfId="1" applyNumberFormat="1" applyFont="1" applyBorder="1" applyAlignment="1">
      <alignment horizontal="center"/>
    </xf>
    <xf numFmtId="49" fontId="0" fillId="0" borderId="9" xfId="1" applyNumberFormat="1" applyFont="1" applyBorder="1" applyAlignment="1">
      <alignment horizontal="center"/>
    </xf>
    <xf numFmtId="49" fontId="0" fillId="0" borderId="15" xfId="0" applyNumberFormat="1" applyBorder="1" applyAlignment="1">
      <alignment horizontal="center"/>
    </xf>
    <xf numFmtId="49" fontId="0" fillId="0" borderId="13" xfId="1" applyNumberFormat="1" applyFont="1" applyBorder="1" applyAlignment="1">
      <alignment horizontal="center"/>
    </xf>
    <xf numFmtId="164" fontId="0" fillId="0" borderId="15" xfId="0" applyNumberFormat="1" applyBorder="1"/>
    <xf numFmtId="164" fontId="3" fillId="0" borderId="0" xfId="1" applyNumberFormat="1" applyFont="1"/>
    <xf numFmtId="0" fontId="0" fillId="0" borderId="9" xfId="0" applyBorder="1" applyAlignment="1">
      <alignment horizontal="center" wrapText="1"/>
    </xf>
    <xf numFmtId="2" fontId="0" fillId="2" borderId="9" xfId="3" applyNumberFormat="1" applyFont="1" applyFill="1" applyBorder="1" applyAlignment="1">
      <alignment horizontal="center"/>
    </xf>
    <xf numFmtId="2" fontId="0" fillId="0" borderId="9" xfId="1" applyNumberFormat="1" applyFont="1" applyBorder="1" applyAlignment="1">
      <alignment horizontal="center"/>
    </xf>
    <xf numFmtId="2" fontId="0" fillId="2" borderId="13" xfId="3" applyNumberFormat="1" applyFont="1" applyFill="1" applyBorder="1" applyAlignment="1">
      <alignment horizontal="center"/>
    </xf>
    <xf numFmtId="2" fontId="0" fillId="0" borderId="13" xfId="1" applyNumberFormat="1" applyFont="1" applyBorder="1" applyAlignment="1">
      <alignment horizontal="center"/>
    </xf>
    <xf numFmtId="0" fontId="0" fillId="0" borderId="0" xfId="0" applyFill="1"/>
    <xf numFmtId="0" fontId="0" fillId="0" borderId="0" xfId="0" applyFill="1" applyBorder="1"/>
    <xf numFmtId="0" fontId="0" fillId="0" borderId="0" xfId="0" applyNumberFormat="1" applyFont="1" applyBorder="1" applyAlignment="1"/>
    <xf numFmtId="0" fontId="0" fillId="0" borderId="0" xfId="0" applyNumberFormat="1" applyFont="1" applyFill="1" applyBorder="1" applyAlignment="1"/>
    <xf numFmtId="164" fontId="9" fillId="0" borderId="14" xfId="0" applyNumberFormat="1" applyFont="1" applyBorder="1"/>
    <xf numFmtId="0" fontId="0" fillId="0" borderId="0" xfId="1" applyNumberFormat="1" applyFont="1" applyBorder="1" applyAlignment="1"/>
    <xf numFmtId="164" fontId="2" fillId="0" borderId="0" xfId="1" applyNumberFormat="1" applyFont="1"/>
    <xf numFmtId="15" fontId="0" fillId="0" borderId="0" xfId="0" quotePrefix="1" applyNumberFormat="1" applyFont="1"/>
    <xf numFmtId="9" fontId="4" fillId="0" borderId="0" xfId="3" applyFont="1"/>
    <xf numFmtId="0" fontId="4" fillId="0" borderId="0" xfId="0" applyFont="1"/>
    <xf numFmtId="2" fontId="0" fillId="0" borderId="20" xfId="0" applyNumberFormat="1" applyFill="1" applyBorder="1" applyAlignment="1">
      <alignment horizontal="center" vertical="top"/>
    </xf>
    <xf numFmtId="2" fontId="0" fillId="0" borderId="11" xfId="0" applyNumberFormat="1" applyFill="1" applyBorder="1" applyAlignment="1">
      <alignment horizontal="center" vertical="top"/>
    </xf>
    <xf numFmtId="2" fontId="0" fillId="0" borderId="17" xfId="0" applyNumberFormat="1" applyFill="1" applyBorder="1" applyAlignment="1">
      <alignment horizontal="center" vertical="top"/>
    </xf>
    <xf numFmtId="0" fontId="0" fillId="0" borderId="1" xfId="0" applyBorder="1" applyAlignment="1">
      <alignment vertical="top"/>
    </xf>
    <xf numFmtId="164" fontId="0" fillId="0" borderId="0" xfId="1" applyNumberFormat="1" applyFont="1" applyAlignment="1">
      <alignment vertical="top"/>
    </xf>
    <xf numFmtId="0" fontId="0" fillId="0" borderId="0" xfId="0" applyAlignment="1">
      <alignment horizontal="right" vertical="top"/>
    </xf>
    <xf numFmtId="164" fontId="0" fillId="0" borderId="0" xfId="1" applyNumberFormat="1" applyFont="1" applyBorder="1" applyAlignment="1">
      <alignment vertical="top"/>
    </xf>
    <xf numFmtId="2" fontId="0" fillId="0" borderId="0" xfId="0" applyNumberFormat="1" applyAlignment="1">
      <alignment vertical="top"/>
    </xf>
    <xf numFmtId="164" fontId="0" fillId="0" borderId="0" xfId="1" applyNumberFormat="1" applyFont="1" applyFill="1" applyAlignment="1">
      <alignment vertical="top"/>
    </xf>
    <xf numFmtId="164" fontId="0" fillId="0" borderId="1" xfId="1" applyNumberFormat="1" applyFont="1" applyFill="1" applyBorder="1" applyAlignment="1">
      <alignment vertical="top"/>
    </xf>
    <xf numFmtId="9" fontId="0" fillId="0" borderId="0" xfId="3" applyFont="1" applyAlignment="1">
      <alignment vertical="top"/>
    </xf>
    <xf numFmtId="0" fontId="0" fillId="0" borderId="0" xfId="0" applyAlignment="1"/>
    <xf numFmtId="9" fontId="0" fillId="0" borderId="0" xfId="3" applyFont="1" applyAlignment="1"/>
    <xf numFmtId="0" fontId="5" fillId="0" borderId="7" xfId="0" applyFont="1" applyFill="1" applyBorder="1" applyAlignment="1">
      <alignment horizontal="center" vertical="top" wrapText="1"/>
    </xf>
    <xf numFmtId="1" fontId="0" fillId="0" borderId="0" xfId="0" applyNumberFormat="1"/>
    <xf numFmtId="1" fontId="0" fillId="0" borderId="0" xfId="3" applyNumberFormat="1" applyFont="1" applyAlignment="1">
      <alignment horizontal="center"/>
    </xf>
    <xf numFmtId="0" fontId="12" fillId="0" borderId="0" xfId="4"/>
    <xf numFmtId="1" fontId="0" fillId="0" borderId="1" xfId="3" applyNumberFormat="1" applyFont="1" applyBorder="1" applyAlignment="1">
      <alignment horizontal="center"/>
    </xf>
    <xf numFmtId="0" fontId="0" fillId="0" borderId="1" xfId="0" applyBorder="1"/>
    <xf numFmtId="164" fontId="0" fillId="0" borderId="0" xfId="0" applyNumberFormat="1" applyAlignment="1">
      <alignment vertical="top"/>
    </xf>
    <xf numFmtId="164" fontId="0" fillId="3" borderId="0" xfId="1" applyNumberFormat="1" applyFont="1" applyFill="1" applyAlignment="1">
      <alignment vertical="top"/>
    </xf>
    <xf numFmtId="1" fontId="0" fillId="3" borderId="0" xfId="0" applyNumberFormat="1" applyFill="1" applyAlignment="1">
      <alignment vertical="top"/>
    </xf>
    <xf numFmtId="164" fontId="0" fillId="3" borderId="1" xfId="1" applyNumberFormat="1" applyFont="1" applyFill="1" applyBorder="1" applyAlignment="1">
      <alignment vertical="top"/>
    </xf>
    <xf numFmtId="1" fontId="0" fillId="3" borderId="1" xfId="0" applyNumberFormat="1" applyFill="1" applyBorder="1" applyAlignment="1">
      <alignment vertical="top"/>
    </xf>
    <xf numFmtId="0" fontId="0" fillId="0" borderId="1" xfId="0" applyBorder="1" applyAlignment="1">
      <alignment horizontal="center"/>
    </xf>
    <xf numFmtId="164" fontId="0" fillId="0" borderId="13" xfId="1" applyNumberFormat="1" applyFont="1" applyFill="1" applyBorder="1"/>
    <xf numFmtId="164" fontId="0" fillId="0" borderId="9" xfId="1" applyNumberFormat="1" applyFont="1" applyFill="1" applyBorder="1"/>
    <xf numFmtId="0" fontId="0" fillId="3" borderId="0" xfId="0" applyFill="1" applyAlignment="1">
      <alignment horizontal="left" vertical="top"/>
    </xf>
    <xf numFmtId="0" fontId="0" fillId="3" borderId="1" xfId="0" applyFill="1" applyBorder="1" applyAlignment="1">
      <alignment horizontal="left"/>
    </xf>
    <xf numFmtId="0" fontId="0" fillId="0" borderId="0" xfId="0" applyNumberFormat="1" applyFill="1" applyAlignment="1">
      <alignment horizontal="left" vertical="top"/>
    </xf>
    <xf numFmtId="0" fontId="0" fillId="0" borderId="1" xfId="0" applyNumberFormat="1" applyFill="1" applyBorder="1" applyAlignment="1">
      <alignment horizontal="left"/>
    </xf>
    <xf numFmtId="0" fontId="0" fillId="3" borderId="0" xfId="0" applyNumberFormat="1" applyFill="1" applyAlignment="1">
      <alignment horizontal="left" vertical="top"/>
    </xf>
    <xf numFmtId="0" fontId="0" fillId="3" borderId="1" xfId="0" applyNumberFormat="1" applyFill="1" applyBorder="1" applyAlignment="1">
      <alignment horizontal="left"/>
    </xf>
    <xf numFmtId="14" fontId="0" fillId="0" borderId="0" xfId="0" applyNumberFormat="1" applyFont="1" applyFill="1"/>
    <xf numFmtId="0" fontId="0" fillId="0" borderId="0" xfId="0" applyFont="1" applyAlignment="1">
      <alignment horizontal="center"/>
    </xf>
    <xf numFmtId="164" fontId="4" fillId="0" borderId="0" xfId="1" applyNumberFormat="1" applyFont="1" applyFill="1" applyAlignment="1">
      <alignment vertical="top"/>
    </xf>
    <xf numFmtId="0" fontId="0" fillId="0" borderId="18" xfId="0" applyBorder="1"/>
    <xf numFmtId="1" fontId="0" fillId="0" borderId="4" xfId="0" applyNumberFormat="1" applyBorder="1"/>
    <xf numFmtId="0" fontId="12" fillId="0" borderId="0" xfId="4" applyNumberFormat="1" applyBorder="1" applyAlignment="1"/>
    <xf numFmtId="9" fontId="0" fillId="0" borderId="9" xfId="3" quotePrefix="1" applyFont="1" applyBorder="1"/>
    <xf numFmtId="2" fontId="0" fillId="0" borderId="0" xfId="0" applyNumberFormat="1" applyFont="1"/>
    <xf numFmtId="0" fontId="5" fillId="0" borderId="7" xfId="0" applyFont="1" applyFill="1" applyBorder="1" applyAlignment="1">
      <alignment horizontal="center" vertical="top" wrapText="1"/>
    </xf>
    <xf numFmtId="0" fontId="5" fillId="0" borderId="7" xfId="0" applyFont="1" applyFill="1" applyBorder="1" applyAlignment="1">
      <alignment horizontal="left" vertical="top" wrapText="1"/>
    </xf>
    <xf numFmtId="0" fontId="0" fillId="0" borderId="24" xfId="0" applyBorder="1"/>
    <xf numFmtId="1" fontId="0" fillId="0" borderId="0" xfId="0" applyNumberFormat="1" applyFill="1" applyAlignment="1">
      <alignment horizontal="right" vertical="top"/>
    </xf>
    <xf numFmtId="1" fontId="0" fillId="0" borderId="1" xfId="0" applyNumberFormat="1" applyFill="1" applyBorder="1" applyAlignment="1">
      <alignment horizontal="right"/>
    </xf>
    <xf numFmtId="1" fontId="0" fillId="0" borderId="4" xfId="0" applyNumberFormat="1" applyBorder="1" applyAlignment="1">
      <alignment horizontal="right"/>
    </xf>
    <xf numFmtId="0" fontId="0" fillId="0" borderId="1" xfId="0" applyBorder="1" applyAlignment="1">
      <alignment horizontal="center" wrapText="1"/>
    </xf>
    <xf numFmtId="0" fontId="6" fillId="0" borderId="1" xfId="0" applyFont="1" applyBorder="1" applyAlignment="1">
      <alignment horizontal="center" vertical="top" wrapText="1"/>
    </xf>
    <xf numFmtId="164" fontId="0" fillId="0" borderId="24" xfId="1" applyNumberFormat="1" applyFont="1" applyFill="1" applyBorder="1"/>
    <xf numFmtId="9" fontId="3" fillId="0" borderId="0" xfId="3" applyFont="1" applyAlignment="1">
      <alignment horizontal="right" wrapText="1"/>
    </xf>
    <xf numFmtId="0" fontId="3" fillId="0" borderId="0" xfId="0" applyFont="1" applyAlignment="1">
      <alignment horizontal="right" wrapText="1"/>
    </xf>
    <xf numFmtId="0" fontId="3" fillId="0" borderId="0" xfId="0" applyFont="1" applyAlignment="1">
      <alignment wrapText="1"/>
    </xf>
    <xf numFmtId="4" fontId="0" fillId="3" borderId="7" xfId="3" applyNumberFormat="1" applyFont="1" applyFill="1" applyBorder="1"/>
    <xf numFmtId="3" fontId="0" fillId="3" borderId="7" xfId="0" applyNumberFormat="1" applyFill="1" applyBorder="1"/>
    <xf numFmtId="167" fontId="0" fillId="0" borderId="7" xfId="0" applyNumberFormat="1" applyBorder="1"/>
    <xf numFmtId="4" fontId="0" fillId="0" borderId="15" xfId="3" applyNumberFormat="1" applyFont="1" applyBorder="1"/>
    <xf numFmtId="3" fontId="0" fillId="0" borderId="15" xfId="3" applyNumberFormat="1" applyFont="1" applyBorder="1"/>
    <xf numFmtId="167" fontId="0" fillId="0" borderId="15" xfId="0" applyNumberFormat="1" applyBorder="1"/>
    <xf numFmtId="4" fontId="0" fillId="3" borderId="25" xfId="3" applyNumberFormat="1" applyFont="1" applyFill="1" applyBorder="1"/>
    <xf numFmtId="3" fontId="0" fillId="3" borderId="25" xfId="0" applyNumberFormat="1" applyFill="1" applyBorder="1"/>
    <xf numFmtId="167" fontId="0" fillId="0" borderId="25" xfId="0" applyNumberFormat="1" applyBorder="1"/>
    <xf numFmtId="164" fontId="3" fillId="0" borderId="7" xfId="0" applyNumberFormat="1" applyFont="1" applyBorder="1"/>
    <xf numFmtId="164" fontId="3" fillId="0" borderId="25" xfId="0" applyNumberFormat="1" applyFont="1" applyBorder="1"/>
    <xf numFmtId="164" fontId="3" fillId="0" borderId="15" xfId="0" applyNumberFormat="1" applyFont="1" applyBorder="1"/>
    <xf numFmtId="3" fontId="0" fillId="0" borderId="7" xfId="0" applyNumberFormat="1" applyFill="1" applyBorder="1"/>
    <xf numFmtId="3" fontId="0" fillId="0" borderId="25" xfId="0" applyNumberFormat="1" applyFill="1" applyBorder="1"/>
    <xf numFmtId="4" fontId="0" fillId="0" borderId="7" xfId="3" applyNumberFormat="1" applyFont="1" applyFill="1" applyBorder="1"/>
    <xf numFmtId="4" fontId="0" fillId="0" borderId="25" xfId="3" applyNumberFormat="1" applyFont="1" applyFill="1" applyBorder="1"/>
    <xf numFmtId="14" fontId="0" fillId="0" borderId="0" xfId="0" applyNumberFormat="1" applyFont="1"/>
    <xf numFmtId="0" fontId="0" fillId="3" borderId="15" xfId="0" applyFill="1" applyBorder="1" applyAlignment="1">
      <alignment horizontal="center" vertical="top"/>
    </xf>
    <xf numFmtId="9" fontId="0" fillId="0" borderId="13" xfId="3" quotePrefix="1" applyFont="1" applyBorder="1"/>
    <xf numFmtId="0" fontId="14" fillId="0" borderId="0" xfId="0" applyFont="1" applyFill="1" applyAlignment="1">
      <alignment vertical="top"/>
    </xf>
    <xf numFmtId="164" fontId="0" fillId="0" borderId="24" xfId="1" applyNumberFormat="1" applyFont="1" applyBorder="1"/>
    <xf numFmtId="9" fontId="0" fillId="0" borderId="24" xfId="3" applyFont="1" applyBorder="1"/>
    <xf numFmtId="0" fontId="2" fillId="0" borderId="0" xfId="0" applyFont="1" applyAlignment="1">
      <alignment horizontal="left" wrapText="1"/>
    </xf>
    <xf numFmtId="0" fontId="2" fillId="0" borderId="0" xfId="0" applyFont="1" applyAlignment="1">
      <alignment horizontal="left" vertical="top" wrapText="1"/>
    </xf>
    <xf numFmtId="0" fontId="9" fillId="0" borderId="0" xfId="0" applyFont="1" applyAlignment="1">
      <alignment horizontal="right"/>
    </xf>
    <xf numFmtId="0" fontId="0" fillId="0" borderId="0" xfId="0" applyFont="1" applyAlignment="1">
      <alignment horizontal="left" vertical="center" wrapText="1"/>
    </xf>
    <xf numFmtId="0" fontId="5" fillId="0" borderId="7" xfId="0" applyFont="1" applyFill="1" applyBorder="1" applyAlignment="1">
      <alignment horizontal="left" vertical="top" wrapText="1"/>
    </xf>
    <xf numFmtId="0" fontId="5" fillId="0" borderId="16"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1" xfId="0" applyFont="1" applyFill="1" applyBorder="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11">
    <dxf>
      <fill>
        <patternFill>
          <bgColor theme="5" tint="0.59996337778862885"/>
        </patternFill>
      </fill>
    </dxf>
    <dxf>
      <fill>
        <patternFill>
          <bgColor theme="6" tint="0.39994506668294322"/>
        </patternFill>
      </fill>
    </dxf>
    <dxf>
      <fill>
        <patternFill>
          <bgColor theme="6"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bctc.edu/colleges-staff/programs-services/capital-budget/capital-budget-development.aspx" TargetMode="External"/><Relationship Id="rId1" Type="http://schemas.openxmlformats.org/officeDocument/2006/relationships/hyperlink" Target="http://www.ofm.wa.gov/budget/capitalforms/C100_2016.xls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ofm.wa.gov/budget/facilities/fis.asp" TargetMode="External"/><Relationship Id="rId1" Type="http://schemas.openxmlformats.org/officeDocument/2006/relationships/hyperlink" Target="http://www.sbctc.edu/colleges-staff/programs-services/capital-budget/capital-budget-development.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D68"/>
  <sheetViews>
    <sheetView showGridLines="0" tabSelected="1" workbookViewId="0">
      <selection activeCell="B2" sqref="B2"/>
    </sheetView>
  </sheetViews>
  <sheetFormatPr defaultRowHeight="15" x14ac:dyDescent="0.25"/>
  <cols>
    <col min="2" max="2" width="11.140625" customWidth="1"/>
    <col min="3" max="3" width="6.28515625" customWidth="1"/>
    <col min="4" max="4" width="107.140625" bestFit="1" customWidth="1"/>
  </cols>
  <sheetData>
    <row r="2" spans="2:4" x14ac:dyDescent="0.25">
      <c r="B2" s="23" t="s">
        <v>269</v>
      </c>
    </row>
    <row r="3" spans="2:4" x14ac:dyDescent="0.25">
      <c r="B3" s="123" t="s">
        <v>328</v>
      </c>
    </row>
    <row r="4" spans="2:4" x14ac:dyDescent="0.25">
      <c r="B4" s="170" t="s">
        <v>329</v>
      </c>
    </row>
    <row r="5" spans="2:4" x14ac:dyDescent="0.25">
      <c r="B5" s="170" t="s">
        <v>331</v>
      </c>
    </row>
    <row r="6" spans="2:4" x14ac:dyDescent="0.25">
      <c r="B6" s="170"/>
    </row>
    <row r="7" spans="2:4" x14ac:dyDescent="0.25">
      <c r="C7" s="170" t="s">
        <v>215</v>
      </c>
    </row>
    <row r="8" spans="2:4" x14ac:dyDescent="0.25">
      <c r="B8" s="170"/>
      <c r="D8" s="189" t="s">
        <v>270</v>
      </c>
    </row>
    <row r="10" spans="2:4" x14ac:dyDescent="0.25">
      <c r="B10" t="s">
        <v>173</v>
      </c>
    </row>
    <row r="11" spans="2:4" x14ac:dyDescent="0.25">
      <c r="B11" t="s">
        <v>174</v>
      </c>
    </row>
    <row r="12" spans="2:4" x14ac:dyDescent="0.25">
      <c r="B12" t="s">
        <v>271</v>
      </c>
    </row>
    <row r="13" spans="2:4" x14ac:dyDescent="0.25">
      <c r="B13" t="s">
        <v>272</v>
      </c>
    </row>
    <row r="14" spans="2:4" x14ac:dyDescent="0.25">
      <c r="B14" t="s">
        <v>273</v>
      </c>
    </row>
    <row r="16" spans="2:4" x14ac:dyDescent="0.25">
      <c r="B16" t="s">
        <v>185</v>
      </c>
    </row>
    <row r="17" spans="3:4" x14ac:dyDescent="0.25">
      <c r="C17" s="165"/>
    </row>
    <row r="18" spans="3:4" x14ac:dyDescent="0.25">
      <c r="C18" t="s">
        <v>186</v>
      </c>
      <c r="D18" s="165"/>
    </row>
    <row r="19" spans="3:4" x14ac:dyDescent="0.25">
      <c r="D19" s="165" t="s">
        <v>162</v>
      </c>
    </row>
    <row r="20" spans="3:4" x14ac:dyDescent="0.25">
      <c r="D20" s="168" t="s">
        <v>169</v>
      </c>
    </row>
    <row r="21" spans="3:4" x14ac:dyDescent="0.25">
      <c r="D21" s="165" t="s">
        <v>163</v>
      </c>
    </row>
    <row r="22" spans="3:4" x14ac:dyDescent="0.25">
      <c r="D22" s="166" t="s">
        <v>288</v>
      </c>
    </row>
    <row r="23" spans="3:4" x14ac:dyDescent="0.25">
      <c r="D23" s="166" t="s">
        <v>319</v>
      </c>
    </row>
    <row r="24" spans="3:4" x14ac:dyDescent="0.25">
      <c r="D24" s="166" t="s">
        <v>316</v>
      </c>
    </row>
    <row r="25" spans="3:4" x14ac:dyDescent="0.25">
      <c r="D25" s="166" t="s">
        <v>317</v>
      </c>
    </row>
    <row r="26" spans="3:4" x14ac:dyDescent="0.25">
      <c r="D26" s="166" t="s">
        <v>320</v>
      </c>
    </row>
    <row r="27" spans="3:4" x14ac:dyDescent="0.25">
      <c r="D27" s="166" t="s">
        <v>202</v>
      </c>
    </row>
    <row r="28" spans="3:4" x14ac:dyDescent="0.25">
      <c r="D28" t="s">
        <v>203</v>
      </c>
    </row>
    <row r="29" spans="3:4" x14ac:dyDescent="0.25">
      <c r="D29" t="s">
        <v>207</v>
      </c>
    </row>
    <row r="30" spans="3:4" x14ac:dyDescent="0.25">
      <c r="D30" t="s">
        <v>318</v>
      </c>
    </row>
    <row r="31" spans="3:4" x14ac:dyDescent="0.25">
      <c r="D31" s="166" t="s">
        <v>321</v>
      </c>
    </row>
    <row r="32" spans="3:4" x14ac:dyDescent="0.25">
      <c r="D32" s="166" t="s">
        <v>204</v>
      </c>
    </row>
    <row r="33" spans="2:4" x14ac:dyDescent="0.25">
      <c r="D33" t="s">
        <v>205</v>
      </c>
    </row>
    <row r="34" spans="2:4" x14ac:dyDescent="0.25">
      <c r="D34" t="s">
        <v>206</v>
      </c>
    </row>
    <row r="35" spans="2:4" x14ac:dyDescent="0.25">
      <c r="D35" t="s">
        <v>318</v>
      </c>
    </row>
    <row r="36" spans="2:4" x14ac:dyDescent="0.25">
      <c r="D36" s="166" t="s">
        <v>170</v>
      </c>
    </row>
    <row r="37" spans="2:4" x14ac:dyDescent="0.25">
      <c r="D37" s="165"/>
    </row>
    <row r="38" spans="2:4" x14ac:dyDescent="0.25">
      <c r="C38" t="s">
        <v>187</v>
      </c>
      <c r="D38" s="165"/>
    </row>
    <row r="39" spans="2:4" x14ac:dyDescent="0.25">
      <c r="D39" s="165" t="s">
        <v>208</v>
      </c>
    </row>
    <row r="40" spans="2:4" x14ac:dyDescent="0.25">
      <c r="D40" s="165" t="s">
        <v>153</v>
      </c>
    </row>
    <row r="41" spans="2:4" x14ac:dyDescent="0.25">
      <c r="D41" s="166" t="s">
        <v>171</v>
      </c>
    </row>
    <row r="43" spans="2:4" x14ac:dyDescent="0.25">
      <c r="C43" t="s">
        <v>188</v>
      </c>
    </row>
    <row r="44" spans="2:4" x14ac:dyDescent="0.25">
      <c r="D44" t="s">
        <v>325</v>
      </c>
    </row>
    <row r="45" spans="2:4" x14ac:dyDescent="0.25">
      <c r="C45" s="165"/>
      <c r="D45" s="165" t="s">
        <v>324</v>
      </c>
    </row>
    <row r="46" spans="2:4" x14ac:dyDescent="0.25">
      <c r="C46" s="165"/>
      <c r="D46" s="166" t="s">
        <v>323</v>
      </c>
    </row>
    <row r="47" spans="2:4" x14ac:dyDescent="0.25">
      <c r="C47" s="165"/>
    </row>
    <row r="48" spans="2:4" x14ac:dyDescent="0.25">
      <c r="B48" t="s">
        <v>172</v>
      </c>
      <c r="C48" s="165"/>
    </row>
    <row r="49" spans="2:4" x14ac:dyDescent="0.25">
      <c r="C49" s="165"/>
    </row>
    <row r="50" spans="2:4" x14ac:dyDescent="0.25">
      <c r="B50" t="s">
        <v>268</v>
      </c>
      <c r="C50" s="165"/>
    </row>
    <row r="51" spans="2:4" x14ac:dyDescent="0.25">
      <c r="C51" s="165"/>
    </row>
    <row r="52" spans="2:4" x14ac:dyDescent="0.25">
      <c r="B52" t="s">
        <v>211</v>
      </c>
      <c r="C52" s="165"/>
    </row>
    <row r="53" spans="2:4" x14ac:dyDescent="0.25">
      <c r="C53" s="165" t="s">
        <v>214</v>
      </c>
    </row>
    <row r="54" spans="2:4" x14ac:dyDescent="0.25">
      <c r="C54" s="165"/>
      <c r="D54" s="211" t="s">
        <v>267</v>
      </c>
    </row>
    <row r="55" spans="2:4" x14ac:dyDescent="0.25">
      <c r="C55" s="165" t="s">
        <v>213</v>
      </c>
    </row>
    <row r="56" spans="2:4" x14ac:dyDescent="0.25">
      <c r="C56" s="165"/>
      <c r="D56" t="s">
        <v>216</v>
      </c>
    </row>
    <row r="57" spans="2:4" x14ac:dyDescent="0.25">
      <c r="C57" s="165"/>
      <c r="D57" t="s">
        <v>212</v>
      </c>
    </row>
    <row r="58" spans="2:4" x14ac:dyDescent="0.25">
      <c r="C58" s="165"/>
      <c r="D58" t="s">
        <v>217</v>
      </c>
    </row>
    <row r="59" spans="2:4" x14ac:dyDescent="0.25">
      <c r="C59" s="165"/>
    </row>
    <row r="60" spans="2:4" x14ac:dyDescent="0.25">
      <c r="B60" t="s">
        <v>178</v>
      </c>
    </row>
    <row r="62" spans="2:4" x14ac:dyDescent="0.25">
      <c r="B62" t="s">
        <v>179</v>
      </c>
    </row>
    <row r="64" spans="2:4" x14ac:dyDescent="0.25">
      <c r="B64" t="s">
        <v>180</v>
      </c>
    </row>
    <row r="65" spans="2:2" x14ac:dyDescent="0.25">
      <c r="B65" t="s">
        <v>181</v>
      </c>
    </row>
    <row r="66" spans="2:2" x14ac:dyDescent="0.25">
      <c r="B66" t="s">
        <v>182</v>
      </c>
    </row>
    <row r="67" spans="2:2" x14ac:dyDescent="0.25">
      <c r="B67" t="s">
        <v>183</v>
      </c>
    </row>
    <row r="68" spans="2:2" x14ac:dyDescent="0.25">
      <c r="B68" t="s">
        <v>184</v>
      </c>
    </row>
  </sheetData>
  <hyperlinks>
    <hyperlink ref="D54" r:id="rId1"/>
    <hyperlink ref="D8" r:id="rId2"/>
  </hyperlinks>
  <pageMargins left="0.7" right="0.7" top="0.75" bottom="0.75" header="0.3" footer="0.3"/>
  <pageSetup scale="72" orientation="portrait" r:id="rId3"/>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2:G138"/>
  <sheetViews>
    <sheetView showGridLines="0" topLeftCell="B1" zoomScaleNormal="100" workbookViewId="0">
      <selection activeCell="C2" sqref="C2"/>
    </sheetView>
  </sheetViews>
  <sheetFormatPr defaultRowHeight="15" x14ac:dyDescent="0.25"/>
  <cols>
    <col min="3" max="3" width="10.5703125" bestFit="1" customWidth="1"/>
    <col min="4" max="4" width="11.5703125" bestFit="1" customWidth="1"/>
    <col min="5" max="5" width="9.7109375" bestFit="1" customWidth="1"/>
    <col min="6" max="6" width="54.85546875" bestFit="1" customWidth="1"/>
    <col min="7" max="7" width="42.5703125" customWidth="1"/>
  </cols>
  <sheetData>
    <row r="2" spans="3:7" x14ac:dyDescent="0.25">
      <c r="C2" s="23" t="s">
        <v>134</v>
      </c>
    </row>
    <row r="3" spans="3:7" x14ac:dyDescent="0.25">
      <c r="C3" s="23"/>
    </row>
    <row r="4" spans="3:7" x14ac:dyDescent="0.25">
      <c r="D4" t="s">
        <v>162</v>
      </c>
    </row>
    <row r="5" spans="3:7" x14ac:dyDescent="0.25">
      <c r="D5" s="199">
        <f>D116</f>
        <v>0</v>
      </c>
      <c r="E5" s="110">
        <f>IF(D5&gt;0,D5/$D$9,0)</f>
        <v>0</v>
      </c>
      <c r="F5" s="62" t="s">
        <v>94</v>
      </c>
      <c r="G5" s="248" t="s">
        <v>144</v>
      </c>
    </row>
    <row r="6" spans="3:7" x14ac:dyDescent="0.25">
      <c r="D6" s="109">
        <v>0</v>
      </c>
      <c r="E6" s="110">
        <f>IF(D6&gt;0,D6/$D$9,0)</f>
        <v>0</v>
      </c>
      <c r="F6" s="62" t="s">
        <v>96</v>
      </c>
      <c r="G6" s="248"/>
    </row>
    <row r="7" spans="3:7" x14ac:dyDescent="0.25">
      <c r="D7" s="222">
        <f>E106+E138</f>
        <v>0</v>
      </c>
      <c r="E7" s="110">
        <f>IF(D7&gt;0,D7/$D$9,0)</f>
        <v>0</v>
      </c>
      <c r="F7" s="216" t="s">
        <v>302</v>
      </c>
      <c r="G7" s="248"/>
    </row>
    <row r="8" spans="3:7" x14ac:dyDescent="0.25">
      <c r="D8" s="198">
        <f>D84</f>
        <v>0</v>
      </c>
      <c r="E8" s="112">
        <f>IF(D8&gt;0,D8/$D$9,0)</f>
        <v>0</v>
      </c>
      <c r="F8" s="66" t="s">
        <v>98</v>
      </c>
      <c r="G8" s="248"/>
    </row>
    <row r="9" spans="3:7" x14ac:dyDescent="0.25">
      <c r="D9" s="19">
        <f>SUM(D5:D6)</f>
        <v>0</v>
      </c>
      <c r="E9" s="20">
        <f>IF(D9&gt;0,D9/$D$9,0)</f>
        <v>0</v>
      </c>
      <c r="F9" t="s">
        <v>100</v>
      </c>
      <c r="G9" s="248"/>
    </row>
    <row r="10" spans="3:7" x14ac:dyDescent="0.25">
      <c r="D10" s="19">
        <f>IF((D6-D7-D8)&lt;0,0,D6-D7-D8)</f>
        <v>0</v>
      </c>
      <c r="E10" s="20">
        <f>IF((E6-E7-E8)&lt;0,0,E6-E7-E8)</f>
        <v>0</v>
      </c>
      <c r="F10" t="s">
        <v>274</v>
      </c>
    </row>
    <row r="11" spans="3:7" x14ac:dyDescent="0.25">
      <c r="D11" s="19"/>
      <c r="E11" s="20"/>
    </row>
    <row r="12" spans="3:7" x14ac:dyDescent="0.25">
      <c r="D12" s="19" t="s">
        <v>218</v>
      </c>
      <c r="E12" s="20"/>
    </row>
    <row r="13" spans="3:7" x14ac:dyDescent="0.25">
      <c r="D13" s="109"/>
      <c r="E13" s="110">
        <f t="shared" ref="E13:E19" si="0">IF(D13&gt;0,D13/$D$20,0)</f>
        <v>0</v>
      </c>
      <c r="F13" s="62" t="s">
        <v>103</v>
      </c>
    </row>
    <row r="14" spans="3:7" x14ac:dyDescent="0.25">
      <c r="D14" s="109"/>
      <c r="E14" s="110">
        <f t="shared" si="0"/>
        <v>0</v>
      </c>
      <c r="F14" s="62" t="s">
        <v>104</v>
      </c>
    </row>
    <row r="15" spans="3:7" x14ac:dyDescent="0.25">
      <c r="D15" s="109"/>
      <c r="E15" s="110">
        <f t="shared" si="0"/>
        <v>0</v>
      </c>
      <c r="F15" s="62" t="s">
        <v>105</v>
      </c>
    </row>
    <row r="16" spans="3:7" x14ac:dyDescent="0.25">
      <c r="D16" s="109"/>
      <c r="E16" s="110">
        <f t="shared" si="0"/>
        <v>0</v>
      </c>
      <c r="F16" s="62" t="s">
        <v>106</v>
      </c>
    </row>
    <row r="17" spans="1:7" ht="15" customHeight="1" x14ac:dyDescent="0.25">
      <c r="D17" s="109"/>
      <c r="E17" s="110">
        <f t="shared" si="0"/>
        <v>0</v>
      </c>
      <c r="F17" s="62" t="s">
        <v>107</v>
      </c>
    </row>
    <row r="18" spans="1:7" ht="14.45" customHeight="1" x14ac:dyDescent="0.25">
      <c r="D18" s="109"/>
      <c r="E18" s="110">
        <f t="shared" si="0"/>
        <v>0</v>
      </c>
      <c r="F18" s="62" t="s">
        <v>108</v>
      </c>
      <c r="G18" s="69"/>
    </row>
    <row r="19" spans="1:7" x14ac:dyDescent="0.25">
      <c r="A19" s="10"/>
      <c r="D19" s="111"/>
      <c r="E19" s="112">
        <f t="shared" si="0"/>
        <v>0</v>
      </c>
      <c r="F19" s="66" t="s">
        <v>109</v>
      </c>
      <c r="G19" s="69"/>
    </row>
    <row r="20" spans="1:7" x14ac:dyDescent="0.25">
      <c r="A20" s="10"/>
      <c r="D20" s="19">
        <f>SUM(D13:D19)</f>
        <v>0</v>
      </c>
      <c r="E20" s="20">
        <f>SUM(E13:E19)</f>
        <v>0</v>
      </c>
      <c r="F20" t="s">
        <v>221</v>
      </c>
      <c r="G20" s="249" t="s">
        <v>220</v>
      </c>
    </row>
    <row r="21" spans="1:7" x14ac:dyDescent="0.25">
      <c r="A21" s="10"/>
      <c r="D21" s="19"/>
      <c r="E21" s="20"/>
      <c r="G21" s="249"/>
    </row>
    <row r="22" spans="1:7" x14ac:dyDescent="0.25">
      <c r="A22" s="10"/>
      <c r="D22" s="19" t="s">
        <v>219</v>
      </c>
      <c r="E22" s="20"/>
    </row>
    <row r="23" spans="1:7" x14ac:dyDescent="0.25">
      <c r="A23" s="10"/>
      <c r="D23" s="109">
        <v>0</v>
      </c>
      <c r="E23" s="110">
        <f t="shared" ref="E23:E29" si="1">IF(D23&gt;0,D23/$D$20,0)</f>
        <v>0</v>
      </c>
      <c r="F23" s="62" t="s">
        <v>103</v>
      </c>
    </row>
    <row r="24" spans="1:7" x14ac:dyDescent="0.25">
      <c r="A24" s="10"/>
      <c r="D24" s="109"/>
      <c r="E24" s="110">
        <f t="shared" si="1"/>
        <v>0</v>
      </c>
      <c r="F24" s="62" t="s">
        <v>104</v>
      </c>
    </row>
    <row r="25" spans="1:7" x14ac:dyDescent="0.25">
      <c r="A25" s="10"/>
      <c r="D25" s="109"/>
      <c r="E25" s="110">
        <f t="shared" si="1"/>
        <v>0</v>
      </c>
      <c r="F25" s="62" t="s">
        <v>105</v>
      </c>
    </row>
    <row r="26" spans="1:7" x14ac:dyDescent="0.25">
      <c r="A26" s="10"/>
      <c r="D26" s="109"/>
      <c r="E26" s="110">
        <f t="shared" si="1"/>
        <v>0</v>
      </c>
      <c r="F26" s="62" t="s">
        <v>106</v>
      </c>
    </row>
    <row r="27" spans="1:7" x14ac:dyDescent="0.25">
      <c r="A27" s="10"/>
      <c r="D27" s="109"/>
      <c r="E27" s="110">
        <f t="shared" si="1"/>
        <v>0</v>
      </c>
      <c r="F27" s="62" t="s">
        <v>107</v>
      </c>
    </row>
    <row r="28" spans="1:7" x14ac:dyDescent="0.25">
      <c r="A28" s="10"/>
      <c r="D28" s="109"/>
      <c r="E28" s="110">
        <f t="shared" si="1"/>
        <v>0</v>
      </c>
      <c r="F28" s="62" t="s">
        <v>108</v>
      </c>
      <c r="G28" s="69"/>
    </row>
    <row r="29" spans="1:7" x14ac:dyDescent="0.25">
      <c r="A29" s="10"/>
      <c r="D29" s="111"/>
      <c r="E29" s="112">
        <f t="shared" si="1"/>
        <v>0</v>
      </c>
      <c r="F29" s="66" t="s">
        <v>109</v>
      </c>
      <c r="G29" s="69"/>
    </row>
    <row r="30" spans="1:7" x14ac:dyDescent="0.25">
      <c r="A30" s="10"/>
      <c r="D30" s="19">
        <f>SUM(D23:D29)</f>
        <v>0</v>
      </c>
      <c r="E30" s="20">
        <f>SUM(E23:E29)</f>
        <v>0</v>
      </c>
      <c r="F30" t="s">
        <v>222</v>
      </c>
      <c r="G30" s="119"/>
    </row>
    <row r="31" spans="1:7" x14ac:dyDescent="0.25">
      <c r="A31" s="10"/>
      <c r="D31" s="19"/>
      <c r="E31" s="20"/>
      <c r="G31" s="119"/>
    </row>
    <row r="32" spans="1:7" x14ac:dyDescent="0.25">
      <c r="A32" s="10"/>
      <c r="D32" t="s">
        <v>163</v>
      </c>
      <c r="E32" s="20"/>
    </row>
    <row r="33" spans="1:6" x14ac:dyDescent="0.25">
      <c r="A33" s="21"/>
      <c r="D33" s="109"/>
      <c r="E33" s="110">
        <f>IF(D33&gt;0,D33/$D$37,0)</f>
        <v>0</v>
      </c>
      <c r="F33" s="62" t="s">
        <v>113</v>
      </c>
    </row>
    <row r="34" spans="1:6" x14ac:dyDescent="0.25">
      <c r="A34" s="21"/>
      <c r="D34" s="109"/>
      <c r="E34" s="110">
        <f>IF(D34&gt;0,D34/$D$37,0)</f>
        <v>0</v>
      </c>
      <c r="F34" s="62" t="s">
        <v>114</v>
      </c>
    </row>
    <row r="35" spans="1:6" x14ac:dyDescent="0.25">
      <c r="A35" s="21"/>
      <c r="D35" s="109"/>
      <c r="E35" s="110">
        <f>IF(D35&gt;0,D35/$D$37,0)</f>
        <v>0</v>
      </c>
      <c r="F35" s="62" t="s">
        <v>116</v>
      </c>
    </row>
    <row r="36" spans="1:6" x14ac:dyDescent="0.25">
      <c r="A36" s="21"/>
      <c r="D36" s="111"/>
      <c r="E36" s="112">
        <f>IF(D36&gt;0,D36/$D$37,0)</f>
        <v>0</v>
      </c>
      <c r="F36" s="66" t="s">
        <v>118</v>
      </c>
    </row>
    <row r="37" spans="1:6" ht="14.45" customHeight="1" x14ac:dyDescent="0.25">
      <c r="A37" s="10"/>
      <c r="D37" s="19">
        <f>SUM(D33:D36)</f>
        <v>0</v>
      </c>
      <c r="E37" s="20">
        <f>IF(D37&gt;0,D37/$D$37,0)</f>
        <v>0</v>
      </c>
      <c r="F37" t="s">
        <v>120</v>
      </c>
    </row>
    <row r="38" spans="1:6" x14ac:dyDescent="0.25">
      <c r="A38" s="10"/>
      <c r="D38" s="19">
        <f>SUM(D35:D36)</f>
        <v>0</v>
      </c>
      <c r="E38" s="20">
        <f>SUM(E35:E36)</f>
        <v>0</v>
      </c>
      <c r="F38" t="s">
        <v>135</v>
      </c>
    </row>
    <row r="39" spans="1:6" x14ac:dyDescent="0.25">
      <c r="A39" s="10"/>
      <c r="D39" s="169">
        <f>D20+D30-D37</f>
        <v>0</v>
      </c>
      <c r="E39" s="171" t="e">
        <f>D39/(D20+D30)</f>
        <v>#DIV/0!</v>
      </c>
      <c r="F39" s="172" t="s">
        <v>121</v>
      </c>
    </row>
    <row r="40" spans="1:6" x14ac:dyDescent="0.25">
      <c r="A40" s="10"/>
    </row>
    <row r="41" spans="1:6" x14ac:dyDescent="0.25">
      <c r="D41" s="19" t="s">
        <v>30</v>
      </c>
      <c r="E41" s="20"/>
    </row>
    <row r="42" spans="1:6" x14ac:dyDescent="0.25">
      <c r="C42" s="20"/>
      <c r="D42" s="113" t="e">
        <f>D$9*E42</f>
        <v>#DIV/0!</v>
      </c>
      <c r="E42" s="110" t="e">
        <f>2*D38/D37</f>
        <v>#DIV/0!</v>
      </c>
      <c r="F42" s="62" t="s">
        <v>123</v>
      </c>
    </row>
    <row r="43" spans="1:6" x14ac:dyDescent="0.25">
      <c r="C43" s="20"/>
      <c r="D43" s="113" t="e">
        <f>D$9*E43</f>
        <v>#DIV/0!</v>
      </c>
      <c r="E43" s="110" t="e">
        <f>MIN(D30/(D20+D30),1-E42)</f>
        <v>#DIV/0!</v>
      </c>
      <c r="F43" s="62" t="s">
        <v>223</v>
      </c>
    </row>
    <row r="44" spans="1:6" x14ac:dyDescent="0.25">
      <c r="C44" s="20"/>
      <c r="D44" s="113" t="e">
        <f>D$9*E44</f>
        <v>#DIV/0!</v>
      </c>
      <c r="E44" s="212" t="e">
        <f>(D5*(1-E42-E43)/(D5+D10+MIN(D6,D8)))</f>
        <v>#DIV/0!</v>
      </c>
      <c r="F44" s="62" t="s">
        <v>32</v>
      </c>
    </row>
    <row r="45" spans="1:6" x14ac:dyDescent="0.25">
      <c r="C45" s="20"/>
      <c r="D45" s="113" t="e">
        <f>D$6*E45</f>
        <v>#DIV/0!</v>
      </c>
      <c r="E45" s="212" t="e">
        <f>(MIN(D6,D8)*(1-E42-E43)/(D5+D10+MIN(D6,D8)))</f>
        <v>#DIV/0!</v>
      </c>
      <c r="F45" s="62" t="s">
        <v>70</v>
      </c>
    </row>
    <row r="46" spans="1:6" x14ac:dyDescent="0.25">
      <c r="C46" s="20"/>
      <c r="D46" s="114" t="e">
        <f>D$9*E46</f>
        <v>#DIV/0!</v>
      </c>
      <c r="E46" s="244" t="e">
        <f>(D10*(1-E42-E43))/(D5+D10+MIN(D6,D8))</f>
        <v>#DIV/0!</v>
      </c>
      <c r="F46" s="66" t="s">
        <v>78</v>
      </c>
    </row>
    <row r="47" spans="1:6" x14ac:dyDescent="0.25">
      <c r="C47" s="20"/>
      <c r="D47" s="19" t="e">
        <f>SUM(D42:D46)</f>
        <v>#DIV/0!</v>
      </c>
      <c r="E47" s="20" t="e">
        <f>SUM(E42:E46)</f>
        <v>#DIV/0!</v>
      </c>
      <c r="F47" t="s">
        <v>127</v>
      </c>
    </row>
    <row r="48" spans="1:6" x14ac:dyDescent="0.25">
      <c r="C48" s="20"/>
      <c r="D48" s="22"/>
      <c r="E48" s="20"/>
    </row>
    <row r="49" spans="3:6" x14ac:dyDescent="0.25">
      <c r="C49" s="20" t="s">
        <v>289</v>
      </c>
      <c r="D49" s="22"/>
      <c r="E49" s="20"/>
    </row>
    <row r="50" spans="3:6" x14ac:dyDescent="0.25">
      <c r="C50" s="20"/>
      <c r="D50" s="22"/>
      <c r="E50" s="20"/>
    </row>
    <row r="51" spans="3:6" ht="30" x14ac:dyDescent="0.25">
      <c r="C51" s="22"/>
      <c r="D51" s="223" t="s">
        <v>293</v>
      </c>
      <c r="E51" s="224" t="s">
        <v>294</v>
      </c>
      <c r="F51" s="225" t="s">
        <v>288</v>
      </c>
    </row>
    <row r="52" spans="3:6" x14ac:dyDescent="0.25">
      <c r="C52" s="235" t="s">
        <v>290</v>
      </c>
      <c r="D52" s="226"/>
      <c r="E52" s="227"/>
      <c r="F52" s="228" t="e">
        <f>D52/E52</f>
        <v>#DIV/0!</v>
      </c>
    </row>
    <row r="53" spans="3:6" ht="15.75" thickBot="1" x14ac:dyDescent="0.3">
      <c r="C53" s="236" t="s">
        <v>291</v>
      </c>
      <c r="D53" s="232"/>
      <c r="E53" s="233"/>
      <c r="F53" s="234" t="e">
        <f>D53/E53</f>
        <v>#DIV/0!</v>
      </c>
    </row>
    <row r="54" spans="3:6" x14ac:dyDescent="0.25">
      <c r="C54" s="237" t="s">
        <v>292</v>
      </c>
      <c r="D54" s="229">
        <f>SUM(D52:D53)</f>
        <v>0</v>
      </c>
      <c r="E54" s="230">
        <f>SUM(E52:E53)</f>
        <v>0</v>
      </c>
      <c r="F54" s="231" t="e">
        <f>D54/E54</f>
        <v>#DIV/0!</v>
      </c>
    </row>
    <row r="55" spans="3:6" x14ac:dyDescent="0.25">
      <c r="C55" s="20"/>
      <c r="D55" s="22"/>
      <c r="E55" s="20"/>
    </row>
    <row r="56" spans="3:6" x14ac:dyDescent="0.25">
      <c r="C56" t="s">
        <v>300</v>
      </c>
    </row>
    <row r="57" spans="3:6" x14ac:dyDescent="0.25">
      <c r="C57" t="s">
        <v>286</v>
      </c>
    </row>
    <row r="58" spans="3:6" x14ac:dyDescent="0.25">
      <c r="C58" s="189" t="s">
        <v>270</v>
      </c>
    </row>
    <row r="59" spans="3:6" x14ac:dyDescent="0.25">
      <c r="C59" s="20"/>
      <c r="D59" s="189"/>
    </row>
    <row r="60" spans="3:6" x14ac:dyDescent="0.25">
      <c r="C60" s="20"/>
      <c r="D60" s="193"/>
      <c r="E60" s="2" t="s">
        <v>284</v>
      </c>
    </row>
    <row r="61" spans="3:6" x14ac:dyDescent="0.25">
      <c r="C61" s="20"/>
      <c r="D61" s="195"/>
      <c r="E61" s="176" t="s">
        <v>285</v>
      </c>
      <c r="F61" s="191"/>
    </row>
    <row r="62" spans="3:6" x14ac:dyDescent="0.25">
      <c r="C62" s="20"/>
      <c r="D62" s="208">
        <f>D61-D60</f>
        <v>0</v>
      </c>
      <c r="E62" s="2" t="s">
        <v>299</v>
      </c>
    </row>
    <row r="63" spans="3:6" x14ac:dyDescent="0.25">
      <c r="C63" s="20"/>
      <c r="D63" s="19"/>
    </row>
    <row r="64" spans="3:6" x14ac:dyDescent="0.25">
      <c r="C64" s="20"/>
      <c r="D64" s="193"/>
      <c r="E64" s="2" t="s">
        <v>295</v>
      </c>
    </row>
    <row r="65" spans="3:6" x14ac:dyDescent="0.25">
      <c r="C65" s="20"/>
      <c r="D65" s="195"/>
      <c r="E65" s="176" t="s">
        <v>296</v>
      </c>
      <c r="F65" s="191"/>
    </row>
    <row r="66" spans="3:6" x14ac:dyDescent="0.25">
      <c r="C66" s="20"/>
      <c r="D66" s="177">
        <f>SUM(D64:D65)</f>
        <v>0</v>
      </c>
      <c r="E66" s="2" t="s">
        <v>297</v>
      </c>
    </row>
    <row r="67" spans="3:6" x14ac:dyDescent="0.25">
      <c r="C67" s="20"/>
      <c r="D67" s="179"/>
      <c r="E67" s="56"/>
      <c r="F67" s="10"/>
    </row>
    <row r="68" spans="3:6" ht="30" x14ac:dyDescent="0.25">
      <c r="C68" s="22"/>
      <c r="D68" s="223" t="s">
        <v>293</v>
      </c>
      <c r="E68" s="224" t="s">
        <v>294</v>
      </c>
      <c r="F68" s="225" t="s">
        <v>298</v>
      </c>
    </row>
    <row r="69" spans="3:6" x14ac:dyDescent="0.25">
      <c r="C69" s="235" t="s">
        <v>290</v>
      </c>
      <c r="D69" s="240" t="e">
        <f>D52+(D62*D64/(D64+D65/2)*15)</f>
        <v>#DIV/0!</v>
      </c>
      <c r="E69" s="238">
        <f>D64+E52</f>
        <v>0</v>
      </c>
      <c r="F69" s="228" t="e">
        <f>D69/E69</f>
        <v>#DIV/0!</v>
      </c>
    </row>
    <row r="70" spans="3:6" ht="15.75" thickBot="1" x14ac:dyDescent="0.3">
      <c r="C70" s="236" t="s">
        <v>291</v>
      </c>
      <c r="D70" s="241" t="e">
        <f>D53+(D62*(D65/2)/(D64+D65/2)*30)</f>
        <v>#DIV/0!</v>
      </c>
      <c r="E70" s="239">
        <f>D65+E53</f>
        <v>0</v>
      </c>
      <c r="F70" s="234" t="e">
        <f>D70/E70</f>
        <v>#DIV/0!</v>
      </c>
    </row>
    <row r="71" spans="3:6" x14ac:dyDescent="0.25">
      <c r="C71" s="237" t="s">
        <v>292</v>
      </c>
      <c r="D71" s="229" t="e">
        <f>SUM(D69:D70)</f>
        <v>#DIV/0!</v>
      </c>
      <c r="E71" s="230">
        <f>SUM(E69:E70)</f>
        <v>0</v>
      </c>
      <c r="F71" s="231" t="e">
        <f>D71/E71</f>
        <v>#DIV/0!</v>
      </c>
    </row>
    <row r="72" spans="3:6" x14ac:dyDescent="0.25">
      <c r="C72" s="20"/>
      <c r="D72" s="22"/>
      <c r="E72" s="20"/>
    </row>
    <row r="73" spans="3:6" x14ac:dyDescent="0.25">
      <c r="C73" t="s">
        <v>196</v>
      </c>
      <c r="D73" s="22"/>
      <c r="E73" s="20"/>
    </row>
    <row r="74" spans="3:6" x14ac:dyDescent="0.25">
      <c r="C74" s="189" t="s">
        <v>287</v>
      </c>
      <c r="E74" s="20"/>
      <c r="F74" s="189"/>
    </row>
    <row r="75" spans="3:6" x14ac:dyDescent="0.25">
      <c r="D75" s="22"/>
      <c r="E75" s="20"/>
      <c r="F75" s="189"/>
    </row>
    <row r="76" spans="3:6" x14ac:dyDescent="0.25">
      <c r="C76" t="s">
        <v>199</v>
      </c>
      <c r="D76" s="20"/>
    </row>
    <row r="77" spans="3:6" x14ac:dyDescent="0.25">
      <c r="C77" s="197" t="s">
        <v>189</v>
      </c>
      <c r="D77" s="197" t="s">
        <v>192</v>
      </c>
      <c r="E77" s="176" t="s">
        <v>193</v>
      </c>
      <c r="F77" s="191" t="s">
        <v>191</v>
      </c>
    </row>
    <row r="78" spans="3:6" x14ac:dyDescent="0.25">
      <c r="C78" s="188">
        <v>1</v>
      </c>
      <c r="D78" s="193">
        <v>0</v>
      </c>
      <c r="E78" s="194">
        <v>0</v>
      </c>
      <c r="F78" s="200"/>
    </row>
    <row r="79" spans="3:6" x14ac:dyDescent="0.25">
      <c r="C79" s="188">
        <v>2</v>
      </c>
      <c r="D79" s="193">
        <v>0</v>
      </c>
      <c r="E79" s="194">
        <v>0</v>
      </c>
      <c r="F79" s="200"/>
    </row>
    <row r="80" spans="3:6" x14ac:dyDescent="0.25">
      <c r="C80" s="188">
        <v>3</v>
      </c>
      <c r="D80" s="193">
        <v>0</v>
      </c>
      <c r="E80" s="194">
        <v>0</v>
      </c>
      <c r="F80" s="200"/>
    </row>
    <row r="81" spans="3:6" x14ac:dyDescent="0.25">
      <c r="C81" s="188">
        <v>4</v>
      </c>
      <c r="D81" s="193">
        <v>0</v>
      </c>
      <c r="E81" s="194">
        <v>0</v>
      </c>
      <c r="F81" s="200"/>
    </row>
    <row r="82" spans="3:6" x14ac:dyDescent="0.25">
      <c r="C82" s="188">
        <v>5</v>
      </c>
      <c r="D82" s="193">
        <v>0</v>
      </c>
      <c r="E82" s="194">
        <v>0</v>
      </c>
      <c r="F82" s="200"/>
    </row>
    <row r="83" spans="3:6" x14ac:dyDescent="0.25">
      <c r="C83" s="190">
        <v>6</v>
      </c>
      <c r="D83" s="195">
        <v>0</v>
      </c>
      <c r="E83" s="196">
        <v>0</v>
      </c>
      <c r="F83" s="201"/>
    </row>
    <row r="84" spans="3:6" x14ac:dyDescent="0.25">
      <c r="C84" s="188"/>
      <c r="D84" s="192">
        <f>SUM(D78:D83)</f>
        <v>0</v>
      </c>
      <c r="E84" s="187">
        <f>IF(D84&gt;0,ROUND((E78*D78+E79*D79+E80*D80+E81*D81+E82*D82+E83*D83)/D84,0),0)</f>
        <v>0</v>
      </c>
      <c r="F84" t="s">
        <v>194</v>
      </c>
    </row>
    <row r="85" spans="3:6" x14ac:dyDescent="0.25">
      <c r="C85" s="188"/>
      <c r="D85" s="2"/>
      <c r="E85" s="176">
        <v>2019</v>
      </c>
      <c r="F85" s="176" t="s">
        <v>190</v>
      </c>
    </row>
    <row r="86" spans="3:6" x14ac:dyDescent="0.25">
      <c r="C86" s="188"/>
      <c r="D86" s="2"/>
      <c r="E86" s="210">
        <f>IF(D84&gt;0,E85-E84,0)</f>
        <v>0</v>
      </c>
      <c r="F86" s="209" t="s">
        <v>283</v>
      </c>
    </row>
    <row r="87" spans="3:6" x14ac:dyDescent="0.25">
      <c r="C87" s="187"/>
      <c r="D87" s="56"/>
      <c r="E87" s="56"/>
      <c r="F87" s="56"/>
    </row>
    <row r="88" spans="3:6" x14ac:dyDescent="0.25">
      <c r="C88" t="s">
        <v>200</v>
      </c>
      <c r="D88" s="56"/>
      <c r="E88" s="56"/>
      <c r="F88" s="56"/>
    </row>
    <row r="89" spans="3:6" x14ac:dyDescent="0.25">
      <c r="C89" s="197" t="s">
        <v>189</v>
      </c>
      <c r="D89" s="197" t="s">
        <v>192</v>
      </c>
      <c r="E89" s="176" t="s">
        <v>265</v>
      </c>
      <c r="F89" s="191" t="s">
        <v>191</v>
      </c>
    </row>
    <row r="90" spans="3:6" x14ac:dyDescent="0.25">
      <c r="C90" s="188">
        <v>1</v>
      </c>
      <c r="D90" s="181">
        <f>D78</f>
        <v>0</v>
      </c>
      <c r="E90" s="194">
        <v>0</v>
      </c>
      <c r="F90" s="202">
        <f>F$78</f>
        <v>0</v>
      </c>
    </row>
    <row r="91" spans="3:6" x14ac:dyDescent="0.25">
      <c r="C91" s="188">
        <v>2</v>
      </c>
      <c r="D91" s="181">
        <f t="shared" ref="D91:D95" si="2">D79</f>
        <v>0</v>
      </c>
      <c r="E91" s="194">
        <v>0</v>
      </c>
      <c r="F91" s="202">
        <f>F$79</f>
        <v>0</v>
      </c>
    </row>
    <row r="92" spans="3:6" x14ac:dyDescent="0.25">
      <c r="C92" s="188">
        <v>3</v>
      </c>
      <c r="D92" s="181">
        <f t="shared" si="2"/>
        <v>0</v>
      </c>
      <c r="E92" s="194">
        <v>0</v>
      </c>
      <c r="F92" s="202">
        <f>F$80</f>
        <v>0</v>
      </c>
    </row>
    <row r="93" spans="3:6" x14ac:dyDescent="0.25">
      <c r="C93" s="188">
        <v>4</v>
      </c>
      <c r="D93" s="181">
        <f t="shared" si="2"/>
        <v>0</v>
      </c>
      <c r="E93" s="194">
        <v>0</v>
      </c>
      <c r="F93" s="202">
        <f>F$81</f>
        <v>0</v>
      </c>
    </row>
    <row r="94" spans="3:6" x14ac:dyDescent="0.25">
      <c r="C94" s="188">
        <v>5</v>
      </c>
      <c r="D94" s="181">
        <f t="shared" si="2"/>
        <v>0</v>
      </c>
      <c r="E94" s="194">
        <v>0</v>
      </c>
      <c r="F94" s="202">
        <f>F$82</f>
        <v>0</v>
      </c>
    </row>
    <row r="95" spans="3:6" x14ac:dyDescent="0.25">
      <c r="C95" s="190">
        <v>6</v>
      </c>
      <c r="D95" s="182">
        <f t="shared" si="2"/>
        <v>0</v>
      </c>
      <c r="E95" s="196">
        <v>0</v>
      </c>
      <c r="F95" s="203">
        <f>F$83</f>
        <v>0</v>
      </c>
    </row>
    <row r="96" spans="3:6" x14ac:dyDescent="0.25">
      <c r="C96" s="188"/>
      <c r="D96" s="192">
        <f>SUM(D90:D95)</f>
        <v>0</v>
      </c>
      <c r="E96" s="210">
        <f>IF(D96&gt;0,ROUND((E90*D90+E91*D91+E92*D92+E93*D93+E94*D94+E95*D95)/D96,0),0)</f>
        <v>0</v>
      </c>
      <c r="F96" s="209" t="s">
        <v>282</v>
      </c>
    </row>
    <row r="97" spans="3:6" x14ac:dyDescent="0.25">
      <c r="D97" s="2"/>
      <c r="E97" s="2"/>
      <c r="F97" s="2"/>
    </row>
    <row r="98" spans="3:6" x14ac:dyDescent="0.25">
      <c r="C98" t="s">
        <v>280</v>
      </c>
    </row>
    <row r="99" spans="3:6" ht="51" x14ac:dyDescent="0.25">
      <c r="C99" s="197" t="s">
        <v>189</v>
      </c>
      <c r="D99" s="221" t="s">
        <v>279</v>
      </c>
      <c r="E99" s="220" t="s">
        <v>278</v>
      </c>
      <c r="F99" s="191" t="s">
        <v>191</v>
      </c>
    </row>
    <row r="100" spans="3:6" x14ac:dyDescent="0.25">
      <c r="C100" s="188">
        <v>1</v>
      </c>
      <c r="D100" s="194">
        <v>0</v>
      </c>
      <c r="E100" s="217">
        <f>D100*10</f>
        <v>0</v>
      </c>
      <c r="F100" s="202">
        <f>F$78</f>
        <v>0</v>
      </c>
    </row>
    <row r="101" spans="3:6" x14ac:dyDescent="0.25">
      <c r="C101" s="188">
        <v>2</v>
      </c>
      <c r="D101" s="194">
        <v>0</v>
      </c>
      <c r="E101" s="217">
        <f t="shared" ref="E101:E105" si="3">D101*10</f>
        <v>0</v>
      </c>
      <c r="F101" s="202">
        <f>F$79</f>
        <v>0</v>
      </c>
    </row>
    <row r="102" spans="3:6" x14ac:dyDescent="0.25">
      <c r="C102" s="188">
        <v>3</v>
      </c>
      <c r="D102" s="194">
        <v>0</v>
      </c>
      <c r="E102" s="217">
        <f t="shared" si="3"/>
        <v>0</v>
      </c>
      <c r="F102" s="202">
        <f>F$80</f>
        <v>0</v>
      </c>
    </row>
    <row r="103" spans="3:6" x14ac:dyDescent="0.25">
      <c r="C103" s="188">
        <v>4</v>
      </c>
      <c r="D103" s="194">
        <v>0</v>
      </c>
      <c r="E103" s="217">
        <f t="shared" si="3"/>
        <v>0</v>
      </c>
      <c r="F103" s="202">
        <f>F$81</f>
        <v>0</v>
      </c>
    </row>
    <row r="104" spans="3:6" x14ac:dyDescent="0.25">
      <c r="C104" s="188">
        <v>5</v>
      </c>
      <c r="D104" s="194">
        <v>0</v>
      </c>
      <c r="E104" s="217">
        <f t="shared" si="3"/>
        <v>0</v>
      </c>
      <c r="F104" s="202">
        <f>F$82</f>
        <v>0</v>
      </c>
    </row>
    <row r="105" spans="3:6" x14ac:dyDescent="0.25">
      <c r="C105" s="190">
        <v>6</v>
      </c>
      <c r="D105" s="196">
        <v>0</v>
      </c>
      <c r="E105" s="218">
        <f t="shared" si="3"/>
        <v>0</v>
      </c>
      <c r="F105" s="203">
        <f>F$83</f>
        <v>0</v>
      </c>
    </row>
    <row r="106" spans="3:6" x14ac:dyDescent="0.25">
      <c r="C106" s="188"/>
      <c r="D106" s="192"/>
      <c r="E106" s="219">
        <f>SUM(E100:E105)</f>
        <v>0</v>
      </c>
      <c r="F106" s="209" t="s">
        <v>281</v>
      </c>
    </row>
    <row r="107" spans="3:6" x14ac:dyDescent="0.25">
      <c r="D107" s="2"/>
      <c r="E107" s="2"/>
      <c r="F107" s="2"/>
    </row>
    <row r="108" spans="3:6" x14ac:dyDescent="0.25">
      <c r="C108" t="s">
        <v>201</v>
      </c>
      <c r="D108" s="20"/>
    </row>
    <row r="109" spans="3:6" x14ac:dyDescent="0.25">
      <c r="C109" s="197" t="s">
        <v>189</v>
      </c>
      <c r="D109" s="197" t="s">
        <v>192</v>
      </c>
      <c r="E109" s="176" t="s">
        <v>193</v>
      </c>
      <c r="F109" s="191" t="s">
        <v>191</v>
      </c>
    </row>
    <row r="110" spans="3:6" x14ac:dyDescent="0.25">
      <c r="C110" s="188">
        <v>1</v>
      </c>
      <c r="D110" s="193">
        <v>0</v>
      </c>
      <c r="E110" s="194">
        <v>0</v>
      </c>
      <c r="F110" s="200"/>
    </row>
    <row r="111" spans="3:6" x14ac:dyDescent="0.25">
      <c r="C111" s="188">
        <v>2</v>
      </c>
      <c r="D111" s="193">
        <v>0</v>
      </c>
      <c r="E111" s="194">
        <v>0</v>
      </c>
      <c r="F111" s="204"/>
    </row>
    <row r="112" spans="3:6" x14ac:dyDescent="0.25">
      <c r="C112" s="188">
        <v>3</v>
      </c>
      <c r="D112" s="193">
        <v>0</v>
      </c>
      <c r="E112" s="194">
        <v>0</v>
      </c>
      <c r="F112" s="204"/>
    </row>
    <row r="113" spans="3:6" x14ac:dyDescent="0.25">
      <c r="C113" s="188">
        <v>4</v>
      </c>
      <c r="D113" s="193">
        <v>0</v>
      </c>
      <c r="E113" s="194">
        <v>0</v>
      </c>
      <c r="F113" s="204"/>
    </row>
    <row r="114" spans="3:6" x14ac:dyDescent="0.25">
      <c r="C114" s="188">
        <v>5</v>
      </c>
      <c r="D114" s="193">
        <v>0</v>
      </c>
      <c r="E114" s="194">
        <v>0</v>
      </c>
      <c r="F114" s="204"/>
    </row>
    <row r="115" spans="3:6" x14ac:dyDescent="0.25">
      <c r="C115" s="190">
        <v>6</v>
      </c>
      <c r="D115" s="195">
        <v>0</v>
      </c>
      <c r="E115" s="196">
        <v>0</v>
      </c>
      <c r="F115" s="205"/>
    </row>
    <row r="116" spans="3:6" x14ac:dyDescent="0.25">
      <c r="C116" s="188"/>
      <c r="D116" s="192">
        <f>SUM(D110:D115)</f>
        <v>0</v>
      </c>
      <c r="E116" s="187">
        <f>IF(D116&gt;0,ROUND((E110*D110+E111*D111+E112*D112+E113*D113+E114*D114+E115*D115)/D116,0),0)</f>
        <v>0</v>
      </c>
      <c r="F116" t="s">
        <v>195</v>
      </c>
    </row>
    <row r="117" spans="3:6" x14ac:dyDescent="0.25">
      <c r="C117" s="188"/>
      <c r="D117" s="2"/>
      <c r="E117" s="176">
        <v>2019</v>
      </c>
      <c r="F117" s="176" t="s">
        <v>190</v>
      </c>
    </row>
    <row r="118" spans="3:6" x14ac:dyDescent="0.25">
      <c r="C118" s="188"/>
      <c r="D118" s="2"/>
      <c r="E118" s="210">
        <f>IF(D116&gt;0,E117-E116,0)</f>
        <v>0</v>
      </c>
      <c r="F118" s="209" t="s">
        <v>266</v>
      </c>
    </row>
    <row r="119" spans="3:6" x14ac:dyDescent="0.25">
      <c r="C119" s="187"/>
      <c r="D119" s="56"/>
      <c r="E119" s="56"/>
      <c r="F119" s="56"/>
    </row>
    <row r="120" spans="3:6" x14ac:dyDescent="0.25">
      <c r="C120" t="s">
        <v>275</v>
      </c>
      <c r="D120" s="56"/>
      <c r="E120" s="56"/>
      <c r="F120" s="56"/>
    </row>
    <row r="121" spans="3:6" x14ac:dyDescent="0.25">
      <c r="C121" s="197" t="s">
        <v>189</v>
      </c>
      <c r="D121" s="197" t="s">
        <v>192</v>
      </c>
      <c r="E121" s="176" t="s">
        <v>265</v>
      </c>
      <c r="F121" s="191" t="s">
        <v>191</v>
      </c>
    </row>
    <row r="122" spans="3:6" x14ac:dyDescent="0.25">
      <c r="C122" s="188">
        <v>1</v>
      </c>
      <c r="D122" s="181">
        <f>D$110</f>
        <v>0</v>
      </c>
      <c r="E122" s="194">
        <v>0</v>
      </c>
      <c r="F122" s="202">
        <f>F$110</f>
        <v>0</v>
      </c>
    </row>
    <row r="123" spans="3:6" x14ac:dyDescent="0.25">
      <c r="C123" s="188">
        <v>2</v>
      </c>
      <c r="D123" s="181">
        <f>D$111</f>
        <v>0</v>
      </c>
      <c r="E123" s="194">
        <v>0</v>
      </c>
      <c r="F123" s="202">
        <f>F$111</f>
        <v>0</v>
      </c>
    </row>
    <row r="124" spans="3:6" x14ac:dyDescent="0.25">
      <c r="C124" s="188">
        <v>3</v>
      </c>
      <c r="D124" s="181">
        <f>D$112</f>
        <v>0</v>
      </c>
      <c r="E124" s="194">
        <v>0</v>
      </c>
      <c r="F124" s="202">
        <f>F$112</f>
        <v>0</v>
      </c>
    </row>
    <row r="125" spans="3:6" x14ac:dyDescent="0.25">
      <c r="C125" s="188">
        <v>4</v>
      </c>
      <c r="D125" s="181">
        <f>D$113</f>
        <v>0</v>
      </c>
      <c r="E125" s="194">
        <v>0</v>
      </c>
      <c r="F125" s="202">
        <f>F$113</f>
        <v>0</v>
      </c>
    </row>
    <row r="126" spans="3:6" x14ac:dyDescent="0.25">
      <c r="C126" s="188">
        <v>5</v>
      </c>
      <c r="D126" s="181">
        <f>D$114</f>
        <v>0</v>
      </c>
      <c r="E126" s="194">
        <v>0</v>
      </c>
      <c r="F126" s="202">
        <f>F$114</f>
        <v>0</v>
      </c>
    </row>
    <row r="127" spans="3:6" x14ac:dyDescent="0.25">
      <c r="C127" s="190">
        <v>6</v>
      </c>
      <c r="D127" s="182">
        <f>D$115</f>
        <v>0</v>
      </c>
      <c r="E127" s="196">
        <v>0</v>
      </c>
      <c r="F127" s="203">
        <f>F$115</f>
        <v>0</v>
      </c>
    </row>
    <row r="128" spans="3:6" x14ac:dyDescent="0.25">
      <c r="C128" s="188"/>
      <c r="D128" s="192">
        <f>SUM(D122:D127)</f>
        <v>0</v>
      </c>
      <c r="E128" s="210">
        <f>IF(D128&gt;0,ROUND((E122*D122+E123*D123+E124*D124+E125*D125+E126*D126+E127*D127)/D128,0),0)</f>
        <v>0</v>
      </c>
      <c r="F128" s="209" t="s">
        <v>322</v>
      </c>
    </row>
    <row r="130" spans="3:6" x14ac:dyDescent="0.25">
      <c r="C130" t="s">
        <v>276</v>
      </c>
    </row>
    <row r="131" spans="3:6" ht="51" x14ac:dyDescent="0.25">
      <c r="C131" s="197" t="s">
        <v>189</v>
      </c>
      <c r="D131" s="221" t="s">
        <v>279</v>
      </c>
      <c r="E131" s="220" t="s">
        <v>278</v>
      </c>
      <c r="F131" s="191" t="s">
        <v>191</v>
      </c>
    </row>
    <row r="132" spans="3:6" x14ac:dyDescent="0.25">
      <c r="C132" s="188">
        <v>1</v>
      </c>
      <c r="D132" s="194">
        <v>0</v>
      </c>
      <c r="E132" s="217">
        <f>D132*10</f>
        <v>0</v>
      </c>
      <c r="F132" s="202">
        <f>F$110</f>
        <v>0</v>
      </c>
    </row>
    <row r="133" spans="3:6" x14ac:dyDescent="0.25">
      <c r="C133" s="188">
        <v>2</v>
      </c>
      <c r="D133" s="194">
        <v>0</v>
      </c>
      <c r="E133" s="217">
        <f t="shared" ref="E133:E137" si="4">D133*10</f>
        <v>0</v>
      </c>
      <c r="F133" s="202">
        <f>F$111</f>
        <v>0</v>
      </c>
    </row>
    <row r="134" spans="3:6" x14ac:dyDescent="0.25">
      <c r="C134" s="188">
        <v>3</v>
      </c>
      <c r="D134" s="194">
        <v>0</v>
      </c>
      <c r="E134" s="217">
        <f t="shared" si="4"/>
        <v>0</v>
      </c>
      <c r="F134" s="202">
        <f>F$112</f>
        <v>0</v>
      </c>
    </row>
    <row r="135" spans="3:6" x14ac:dyDescent="0.25">
      <c r="C135" s="188">
        <v>4</v>
      </c>
      <c r="D135" s="194">
        <v>0</v>
      </c>
      <c r="E135" s="217">
        <f t="shared" si="4"/>
        <v>0</v>
      </c>
      <c r="F135" s="202">
        <f>F$113</f>
        <v>0</v>
      </c>
    </row>
    <row r="136" spans="3:6" x14ac:dyDescent="0.25">
      <c r="C136" s="188">
        <v>5</v>
      </c>
      <c r="D136" s="194">
        <v>0</v>
      </c>
      <c r="E136" s="217">
        <f t="shared" si="4"/>
        <v>0</v>
      </c>
      <c r="F136" s="202">
        <f>F$114</f>
        <v>0</v>
      </c>
    </row>
    <row r="137" spans="3:6" x14ac:dyDescent="0.25">
      <c r="C137" s="190">
        <v>6</v>
      </c>
      <c r="D137" s="196">
        <v>0</v>
      </c>
      <c r="E137" s="218">
        <f t="shared" si="4"/>
        <v>0</v>
      </c>
      <c r="F137" s="203">
        <f>F$115</f>
        <v>0</v>
      </c>
    </row>
    <row r="138" spans="3:6" x14ac:dyDescent="0.25">
      <c r="C138" s="188"/>
      <c r="D138" s="192"/>
      <c r="E138" s="219">
        <f>SUM(E132:E137)</f>
        <v>0</v>
      </c>
      <c r="F138" s="209" t="s">
        <v>277</v>
      </c>
    </row>
  </sheetData>
  <mergeCells count="2">
    <mergeCell ref="G5:G9"/>
    <mergeCell ref="G20:G21"/>
  </mergeCells>
  <conditionalFormatting sqref="E39:F39">
    <cfRule type="expression" dxfId="10" priority="1">
      <formula>$D$39&lt;&gt;0</formula>
    </cfRule>
  </conditionalFormatting>
  <hyperlinks>
    <hyperlink ref="C58" r:id="rId1"/>
    <hyperlink ref="C74" r:id="rId2"/>
  </hyperlinks>
  <pageMargins left="0.7" right="0.7" top="0.5" bottom="0.5" header="0.3" footer="0.3"/>
  <pageSetup orientation="portrait" r:id="rId3"/>
  <headerFooter>
    <oddFooter>Page &amp;P of &amp;N</oddFooter>
  </headerFooter>
  <rowBreaks count="4" manualBreakCount="4">
    <brk id="48" min="2" max="5" man="1"/>
    <brk id="55" min="2" max="5" man="1"/>
    <brk id="72" min="2" max="5" man="1"/>
    <brk id="107" min="2" max="5" man="1"/>
  </row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2:H50"/>
  <sheetViews>
    <sheetView showGridLines="0" workbookViewId="0">
      <selection activeCell="E7" sqref="E7"/>
    </sheetView>
  </sheetViews>
  <sheetFormatPr defaultColWidth="8.85546875" defaultRowHeight="15" x14ac:dyDescent="0.25"/>
  <cols>
    <col min="1" max="1" width="8.85546875" style="123"/>
    <col min="2" max="2" width="32.28515625" style="122" customWidth="1"/>
    <col min="3" max="4" width="14" style="123" customWidth="1"/>
    <col min="5" max="5" width="11.5703125" style="123" bestFit="1" customWidth="1"/>
    <col min="6" max="6" width="14.7109375" style="123" bestFit="1" customWidth="1"/>
    <col min="7" max="7" width="11.7109375" style="123" customWidth="1"/>
    <col min="8" max="8" width="14.7109375" style="123" customWidth="1"/>
    <col min="9" max="16384" width="8.85546875" style="123"/>
  </cols>
  <sheetData>
    <row r="2" spans="2:8" x14ac:dyDescent="0.25">
      <c r="B2" s="144" t="s">
        <v>164</v>
      </c>
    </row>
    <row r="3" spans="2:8" x14ac:dyDescent="0.25">
      <c r="D3" s="207" t="s">
        <v>197</v>
      </c>
      <c r="E3" s="207" t="s">
        <v>198</v>
      </c>
    </row>
    <row r="4" spans="2:8" x14ac:dyDescent="0.25">
      <c r="B4" s="124" t="s">
        <v>145</v>
      </c>
      <c r="C4" s="206">
        <f>AVERAGE(D4,E4)</f>
        <v>44774</v>
      </c>
      <c r="D4" s="138">
        <v>44378</v>
      </c>
      <c r="E4" s="138">
        <v>45170</v>
      </c>
    </row>
    <row r="5" spans="2:8" x14ac:dyDescent="0.25">
      <c r="B5" s="122" t="s">
        <v>146</v>
      </c>
      <c r="C5" s="213">
        <f>VLOOKUP(C4,B25:C50,2)</f>
        <v>1.395</v>
      </c>
      <c r="D5" s="123" t="s">
        <v>147</v>
      </c>
    </row>
    <row r="6" spans="2:8" x14ac:dyDescent="0.25">
      <c r="B6" s="122" t="s">
        <v>148</v>
      </c>
      <c r="C6" s="19">
        <f>SUM('My Project'!D5,'My Project'!D6)</f>
        <v>0</v>
      </c>
      <c r="D6" s="123" t="s">
        <v>149</v>
      </c>
    </row>
    <row r="7" spans="2:8" x14ac:dyDescent="0.25">
      <c r="C7" s="19"/>
    </row>
    <row r="8" spans="2:8" ht="30" x14ac:dyDescent="0.25">
      <c r="B8" s="125" t="s">
        <v>150</v>
      </c>
      <c r="C8" s="126" t="s">
        <v>151</v>
      </c>
      <c r="D8" s="126" t="s">
        <v>152</v>
      </c>
      <c r="E8" s="126" t="s">
        <v>153</v>
      </c>
      <c r="F8" s="126" t="s">
        <v>154</v>
      </c>
      <c r="G8" s="127" t="s">
        <v>155</v>
      </c>
      <c r="H8" s="127" t="s">
        <v>134</v>
      </c>
    </row>
    <row r="9" spans="2:8" x14ac:dyDescent="0.25">
      <c r="B9" s="128" t="s">
        <v>156</v>
      </c>
      <c r="C9" s="129">
        <v>420</v>
      </c>
      <c r="D9" s="130">
        <f>C9*C$5</f>
        <v>585.9</v>
      </c>
      <c r="E9" s="139"/>
      <c r="F9" s="131">
        <f t="shared" ref="F9:F15" si="0">E9*D9</f>
        <v>0</v>
      </c>
      <c r="G9" s="132"/>
      <c r="H9" s="132"/>
    </row>
    <row r="10" spans="2:8" x14ac:dyDescent="0.25">
      <c r="B10" s="128" t="s">
        <v>157</v>
      </c>
      <c r="C10" s="129">
        <v>378</v>
      </c>
      <c r="D10" s="130">
        <f t="shared" ref="D10:D15" si="1">C10*C$5</f>
        <v>527.31000000000006</v>
      </c>
      <c r="E10" s="139">
        <v>0</v>
      </c>
      <c r="F10" s="131">
        <f t="shared" si="0"/>
        <v>0</v>
      </c>
      <c r="G10" s="46"/>
      <c r="H10" s="46"/>
    </row>
    <row r="11" spans="2:8" x14ac:dyDescent="0.25">
      <c r="B11" s="128" t="s">
        <v>158</v>
      </c>
      <c r="C11" s="129">
        <v>437</v>
      </c>
      <c r="D11" s="130">
        <f t="shared" si="1"/>
        <v>609.61500000000001</v>
      </c>
      <c r="E11" s="139">
        <v>0</v>
      </c>
      <c r="F11" s="131">
        <f t="shared" si="0"/>
        <v>0</v>
      </c>
      <c r="G11" s="46"/>
      <c r="H11" s="46"/>
    </row>
    <row r="12" spans="2:8" x14ac:dyDescent="0.25">
      <c r="B12" s="128" t="s">
        <v>159</v>
      </c>
      <c r="C12" s="129">
        <v>623</v>
      </c>
      <c r="D12" s="130">
        <f t="shared" si="1"/>
        <v>869.08500000000004</v>
      </c>
      <c r="E12" s="139">
        <v>0</v>
      </c>
      <c r="F12" s="131">
        <f t="shared" si="0"/>
        <v>0</v>
      </c>
      <c r="G12" s="46"/>
      <c r="H12" s="46"/>
    </row>
    <row r="13" spans="2:8" x14ac:dyDescent="0.25">
      <c r="B13" s="128" t="s">
        <v>160</v>
      </c>
      <c r="C13" s="129">
        <v>309</v>
      </c>
      <c r="D13" s="130">
        <f t="shared" si="1"/>
        <v>431.05500000000001</v>
      </c>
      <c r="E13" s="139">
        <v>0</v>
      </c>
      <c r="F13" s="131">
        <f t="shared" si="0"/>
        <v>0</v>
      </c>
      <c r="G13" s="46"/>
      <c r="H13" s="46"/>
    </row>
    <row r="14" spans="2:8" x14ac:dyDescent="0.25">
      <c r="B14" s="128" t="s">
        <v>161</v>
      </c>
      <c r="C14" s="129">
        <v>283</v>
      </c>
      <c r="D14" s="130">
        <f t="shared" si="1"/>
        <v>394.78500000000003</v>
      </c>
      <c r="E14" s="139">
        <v>0</v>
      </c>
      <c r="F14" s="131">
        <f t="shared" si="0"/>
        <v>0</v>
      </c>
      <c r="G14" s="46"/>
      <c r="H14" s="46"/>
    </row>
    <row r="15" spans="2:8" ht="15.75" thickBot="1" x14ac:dyDescent="0.3">
      <c r="B15" s="128" t="s">
        <v>224</v>
      </c>
      <c r="C15" s="129">
        <v>361</v>
      </c>
      <c r="D15" s="130">
        <f t="shared" si="1"/>
        <v>503.59500000000003</v>
      </c>
      <c r="E15" s="140">
        <v>0</v>
      </c>
      <c r="F15" s="133">
        <f t="shared" si="0"/>
        <v>0</v>
      </c>
      <c r="G15" s="134"/>
      <c r="H15" s="134"/>
    </row>
    <row r="16" spans="2:8" ht="15.75" thickTop="1" x14ac:dyDescent="0.25">
      <c r="E16" s="135">
        <f>SUM(E9:E15)</f>
        <v>0</v>
      </c>
      <c r="F16" s="136">
        <f>SUM(F9:F15)</f>
        <v>0</v>
      </c>
      <c r="G16" s="145">
        <v>1</v>
      </c>
      <c r="H16" s="147">
        <f>IF('My Project'!$D$20&lt;='Expected Cost'!F16,'My Project'!$D$20,"")</f>
        <v>0</v>
      </c>
    </row>
    <row r="17" spans="2:8" x14ac:dyDescent="0.25">
      <c r="B17" s="250" t="str">
        <f>IF(E17=0,"","Variance - should be zero")</f>
        <v/>
      </c>
      <c r="C17" s="250"/>
      <c r="D17" s="250"/>
      <c r="E17" s="167">
        <f>C6-E16</f>
        <v>0</v>
      </c>
      <c r="F17" s="137">
        <f>G17*F16</f>
        <v>0</v>
      </c>
      <c r="G17" s="146">
        <v>1.1100000000000001</v>
      </c>
      <c r="H17" s="148" t="str">
        <f>IF(AND('My Project'!$D$20&gt;='Expected Cost'!F16,'My Project'!$D$20&lt;'Expected Cost'!F17),'My Project'!$D$20,"")</f>
        <v/>
      </c>
    </row>
    <row r="18" spans="2:8" x14ac:dyDescent="0.25">
      <c r="E18" s="23"/>
      <c r="F18" s="137">
        <f>G18*F16</f>
        <v>0</v>
      </c>
      <c r="G18" s="146">
        <v>1.37</v>
      </c>
      <c r="H18" s="148" t="str">
        <f>IF(AND('My Project'!$D$20&gt;='Expected Cost'!F17,'My Project'!$D$20&lt;'Expected Cost'!F18),'My Project'!$D$20,"")</f>
        <v/>
      </c>
    </row>
    <row r="19" spans="2:8" x14ac:dyDescent="0.25">
      <c r="G19" s="146" t="s">
        <v>167</v>
      </c>
      <c r="H19" s="148" t="str">
        <f>IF('My Project'!$D$20&gt;'Expected Cost'!F18,'My Project'!$D$20,"")</f>
        <v/>
      </c>
    </row>
    <row r="22" spans="2:8" ht="30" customHeight="1" x14ac:dyDescent="0.25">
      <c r="B22" s="251" t="s">
        <v>301</v>
      </c>
      <c r="C22" s="251"/>
      <c r="D22" s="251"/>
      <c r="E22" s="251"/>
      <c r="F22" s="251"/>
      <c r="G22" s="251"/>
      <c r="H22" s="251"/>
    </row>
    <row r="24" spans="2:8" ht="25.5" x14ac:dyDescent="0.25">
      <c r="B24" s="141" t="s">
        <v>165</v>
      </c>
      <c r="C24" s="141" t="s">
        <v>166</v>
      </c>
      <c r="H24" s="242"/>
    </row>
    <row r="25" spans="2:8" x14ac:dyDescent="0.25">
      <c r="B25" s="142">
        <v>39630</v>
      </c>
      <c r="C25" s="143">
        <v>1</v>
      </c>
      <c r="H25" s="242"/>
    </row>
    <row r="26" spans="2:8" x14ac:dyDescent="0.25">
      <c r="B26" s="142">
        <v>42506</v>
      </c>
      <c r="C26" s="143">
        <v>1.1839999999999999</v>
      </c>
      <c r="H26" s="242"/>
    </row>
    <row r="27" spans="2:8" x14ac:dyDescent="0.25">
      <c r="B27" s="142">
        <v>42597</v>
      </c>
      <c r="C27" s="143">
        <v>1.1870000000000001</v>
      </c>
      <c r="H27" s="242"/>
    </row>
    <row r="28" spans="2:8" x14ac:dyDescent="0.25">
      <c r="B28" s="142">
        <v>42689</v>
      </c>
      <c r="C28" s="143">
        <v>1.1950000000000001</v>
      </c>
      <c r="H28" s="242"/>
    </row>
    <row r="29" spans="2:8" x14ac:dyDescent="0.25">
      <c r="B29" s="142">
        <v>42780</v>
      </c>
      <c r="C29" s="143">
        <v>1.204</v>
      </c>
      <c r="H29" s="242"/>
    </row>
    <row r="30" spans="2:8" x14ac:dyDescent="0.25">
      <c r="B30" s="142">
        <v>42871</v>
      </c>
      <c r="C30" s="143">
        <v>1.214</v>
      </c>
      <c r="H30" s="242"/>
    </row>
    <row r="31" spans="2:8" x14ac:dyDescent="0.25">
      <c r="B31" s="142">
        <v>42962</v>
      </c>
      <c r="C31" s="143">
        <v>1.224</v>
      </c>
      <c r="H31" s="242"/>
    </row>
    <row r="32" spans="2:8" x14ac:dyDescent="0.25">
      <c r="B32" s="142">
        <v>43054</v>
      </c>
      <c r="C32" s="143">
        <v>1.2330000000000001</v>
      </c>
      <c r="H32" s="242"/>
    </row>
    <row r="33" spans="2:8" x14ac:dyDescent="0.25">
      <c r="B33" s="142">
        <v>43145</v>
      </c>
      <c r="C33" s="143">
        <v>1.242</v>
      </c>
      <c r="H33" s="242"/>
    </row>
    <row r="34" spans="2:8" x14ac:dyDescent="0.25">
      <c r="B34" s="142">
        <v>43236</v>
      </c>
      <c r="C34" s="143">
        <v>1.2509999999999999</v>
      </c>
      <c r="H34" s="242"/>
    </row>
    <row r="35" spans="2:8" x14ac:dyDescent="0.25">
      <c r="B35" s="142">
        <v>43327</v>
      </c>
      <c r="C35" s="143">
        <v>1.26</v>
      </c>
      <c r="H35" s="242"/>
    </row>
    <row r="36" spans="2:8" x14ac:dyDescent="0.25">
      <c r="B36" s="142">
        <v>43419</v>
      </c>
      <c r="C36" s="143">
        <v>1.2689999999999999</v>
      </c>
      <c r="H36" s="242"/>
    </row>
    <row r="37" spans="2:8" x14ac:dyDescent="0.25">
      <c r="B37" s="142">
        <v>43510</v>
      </c>
      <c r="C37" s="143">
        <v>1.278</v>
      </c>
      <c r="H37" s="242"/>
    </row>
    <row r="38" spans="2:8" x14ac:dyDescent="0.25">
      <c r="B38" s="142">
        <v>43601</v>
      </c>
      <c r="C38" s="143">
        <v>1.2869999999999999</v>
      </c>
      <c r="H38" s="242"/>
    </row>
    <row r="39" spans="2:8" x14ac:dyDescent="0.25">
      <c r="B39" s="142">
        <v>43692</v>
      </c>
      <c r="C39" s="143">
        <v>1.2969999999999999</v>
      </c>
      <c r="H39" s="242"/>
    </row>
    <row r="40" spans="2:8" x14ac:dyDescent="0.25">
      <c r="B40" s="142">
        <v>43784</v>
      </c>
      <c r="C40" s="143">
        <v>1.306</v>
      </c>
      <c r="H40" s="242"/>
    </row>
    <row r="41" spans="2:8" x14ac:dyDescent="0.25">
      <c r="B41" s="142">
        <v>43876</v>
      </c>
      <c r="C41" s="143">
        <v>1.3149999999999999</v>
      </c>
      <c r="H41" s="242"/>
    </row>
    <row r="42" spans="2:8" x14ac:dyDescent="0.25">
      <c r="B42" s="142">
        <v>43967</v>
      </c>
      <c r="C42" s="143">
        <v>1.3240000000000001</v>
      </c>
      <c r="H42" s="242"/>
    </row>
    <row r="43" spans="2:8" x14ac:dyDescent="0.25">
      <c r="B43" s="142">
        <v>44058</v>
      </c>
      <c r="C43" s="143">
        <v>1.3320000000000001</v>
      </c>
      <c r="H43" s="242"/>
    </row>
    <row r="44" spans="2:8" x14ac:dyDescent="0.25">
      <c r="B44" s="142">
        <v>44150</v>
      </c>
      <c r="C44" s="143">
        <v>1.341</v>
      </c>
      <c r="H44" s="242"/>
    </row>
    <row r="45" spans="2:8" x14ac:dyDescent="0.25">
      <c r="B45" s="142">
        <v>44241</v>
      </c>
      <c r="C45" s="143">
        <v>1.35</v>
      </c>
      <c r="H45" s="242"/>
    </row>
    <row r="46" spans="2:8" x14ac:dyDescent="0.25">
      <c r="B46" s="142">
        <v>44332</v>
      </c>
      <c r="C46" s="143">
        <v>1.359</v>
      </c>
      <c r="H46" s="242"/>
    </row>
    <row r="47" spans="2:8" x14ac:dyDescent="0.25">
      <c r="B47" s="142">
        <v>44423</v>
      </c>
      <c r="C47" s="143">
        <v>1.3680000000000001</v>
      </c>
      <c r="H47" s="242"/>
    </row>
    <row r="48" spans="2:8" x14ac:dyDescent="0.25">
      <c r="B48" s="142">
        <v>44515</v>
      </c>
      <c r="C48" s="143">
        <v>1.377</v>
      </c>
      <c r="H48" s="242"/>
    </row>
    <row r="49" spans="2:8" x14ac:dyDescent="0.25">
      <c r="B49" s="142">
        <v>44606</v>
      </c>
      <c r="C49" s="143">
        <v>1.3859999999999999</v>
      </c>
      <c r="H49" s="242"/>
    </row>
    <row r="50" spans="2:8" x14ac:dyDescent="0.25">
      <c r="B50" s="142">
        <v>44697</v>
      </c>
      <c r="C50" s="143">
        <v>1.395</v>
      </c>
    </row>
  </sheetData>
  <sortState ref="H24:I75">
    <sortCondition ref="I24:I75"/>
  </sortState>
  <mergeCells count="2">
    <mergeCell ref="B17:D17"/>
    <mergeCell ref="B22:H22"/>
  </mergeCells>
  <pageMargins left="0.7" right="0.7"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M1016"/>
  <sheetViews>
    <sheetView showGridLines="0" topLeftCell="A34" zoomScaleNormal="100" workbookViewId="0">
      <selection activeCell="H44" sqref="H44"/>
    </sheetView>
  </sheetViews>
  <sheetFormatPr defaultColWidth="9.140625" defaultRowHeight="15" x14ac:dyDescent="0.25"/>
  <cols>
    <col min="1" max="1" width="9.140625" style="6"/>
    <col min="2" max="2" width="12.7109375" style="6" bestFit="1" customWidth="1"/>
    <col min="3" max="3" width="21.5703125" style="6" customWidth="1"/>
    <col min="4" max="4" width="45.7109375" style="7" customWidth="1"/>
    <col min="5" max="5" width="11" style="28" customWidth="1"/>
    <col min="6" max="6" width="9.140625" style="8"/>
    <col min="7" max="7" width="11.28515625" style="6" customWidth="1"/>
    <col min="8" max="8" width="9.140625" style="8"/>
    <col min="9" max="9" width="18.7109375" style="6" bestFit="1" customWidth="1"/>
    <col min="10" max="10" width="14.28515625" style="2" bestFit="1" customWidth="1"/>
    <col min="11" max="11" width="10.5703125" style="2" bestFit="1" customWidth="1"/>
    <col min="12" max="16384" width="9.140625" style="2"/>
  </cols>
  <sheetData>
    <row r="1" spans="2:10" ht="23.25" x14ac:dyDescent="0.25">
      <c r="B1" s="245" t="s">
        <v>326</v>
      </c>
    </row>
    <row r="3" spans="2:10" x14ac:dyDescent="0.25">
      <c r="B3" s="24" t="s">
        <v>0</v>
      </c>
      <c r="C3" s="24" t="s">
        <v>1</v>
      </c>
      <c r="D3" s="25" t="s">
        <v>2</v>
      </c>
      <c r="E3" s="26"/>
      <c r="F3" s="27" t="s">
        <v>3</v>
      </c>
      <c r="G3" s="27" t="s">
        <v>4</v>
      </c>
      <c r="H3" s="27" t="s">
        <v>5</v>
      </c>
      <c r="I3" s="51"/>
    </row>
    <row r="4" spans="2:10" x14ac:dyDescent="0.25">
      <c r="B4" s="47"/>
      <c r="C4" s="47"/>
      <c r="D4" s="48"/>
      <c r="E4" s="49"/>
      <c r="F4" s="50"/>
      <c r="G4" s="50"/>
      <c r="H4" s="50"/>
      <c r="I4" s="51"/>
    </row>
    <row r="5" spans="2:10" x14ac:dyDescent="0.25">
      <c r="B5" s="72" t="s">
        <v>91</v>
      </c>
      <c r="C5" s="73" t="s">
        <v>128</v>
      </c>
      <c r="D5" s="115" t="s">
        <v>252</v>
      </c>
      <c r="E5" s="74"/>
      <c r="F5" s="75"/>
      <c r="G5" s="75"/>
      <c r="H5" s="76"/>
      <c r="I5" s="51"/>
    </row>
    <row r="6" spans="2:10" x14ac:dyDescent="0.25">
      <c r="B6" s="77"/>
      <c r="C6" s="63"/>
      <c r="D6" s="62" t="s">
        <v>303</v>
      </c>
      <c r="E6" s="64"/>
      <c r="F6" s="61">
        <v>9</v>
      </c>
      <c r="G6" s="39" t="s">
        <v>26</v>
      </c>
      <c r="H6" s="78">
        <f>IF(G6="Yes",F6,0)</f>
        <v>0</v>
      </c>
      <c r="I6" s="50"/>
      <c r="J6" s="51"/>
    </row>
    <row r="7" spans="2:10" x14ac:dyDescent="0.25">
      <c r="B7" s="77"/>
      <c r="C7" s="63"/>
      <c r="D7" s="62" t="s">
        <v>129</v>
      </c>
      <c r="E7" s="64"/>
      <c r="F7" s="61">
        <v>4</v>
      </c>
      <c r="G7" s="243"/>
      <c r="H7" s="78">
        <f>IF(G7="Yes",F7,0)</f>
        <v>0</v>
      </c>
      <c r="I7" s="50"/>
      <c r="J7" s="51"/>
    </row>
    <row r="8" spans="2:10" x14ac:dyDescent="0.25">
      <c r="B8" s="77"/>
      <c r="C8" s="63"/>
      <c r="D8" s="62" t="s">
        <v>225</v>
      </c>
      <c r="E8" s="64"/>
      <c r="F8" s="61">
        <v>4</v>
      </c>
      <c r="G8" s="120"/>
      <c r="H8" s="78">
        <f>IF(G8="Yes",F8,0)</f>
        <v>0</v>
      </c>
      <c r="I8" s="50"/>
      <c r="J8" s="51"/>
    </row>
    <row r="9" spans="2:10" x14ac:dyDescent="0.25">
      <c r="B9" s="77"/>
      <c r="C9" s="63"/>
      <c r="D9" s="62" t="s">
        <v>130</v>
      </c>
      <c r="E9" s="64"/>
      <c r="F9" s="61">
        <v>4</v>
      </c>
      <c r="G9" s="120"/>
      <c r="H9" s="78">
        <f>IF(G9="Yes",F9,0)</f>
        <v>0</v>
      </c>
      <c r="I9" s="50"/>
      <c r="J9" s="51"/>
    </row>
    <row r="10" spans="2:10" x14ac:dyDescent="0.25">
      <c r="B10" s="79"/>
      <c r="C10" s="68"/>
      <c r="D10" s="66" t="s">
        <v>131</v>
      </c>
      <c r="E10" s="65"/>
      <c r="F10" s="67">
        <v>2</v>
      </c>
      <c r="G10" s="121"/>
      <c r="H10" s="80">
        <f>IF(G10="Yes",F10,0)</f>
        <v>0</v>
      </c>
      <c r="I10" s="50"/>
      <c r="J10" s="51"/>
    </row>
    <row r="11" spans="2:10" x14ac:dyDescent="0.25">
      <c r="B11" s="47"/>
      <c r="C11" s="52"/>
      <c r="D11" s="10"/>
      <c r="E11" s="2"/>
      <c r="F11" s="13"/>
      <c r="G11" s="53" t="s">
        <v>132</v>
      </c>
      <c r="H11" s="54">
        <f>SUM(H6:H10)</f>
        <v>0</v>
      </c>
      <c r="I11" s="52" t="str">
        <f>CONCATENATE("out of ",Priorities!C5," possible.")</f>
        <v>out of 23 possible.</v>
      </c>
      <c r="J11" s="50"/>
    </row>
    <row r="12" spans="2:10" x14ac:dyDescent="0.25">
      <c r="B12" s="55"/>
      <c r="C12" s="56"/>
      <c r="D12" s="10"/>
      <c r="E12" s="2"/>
      <c r="F12" s="13"/>
      <c r="G12" s="53" t="s">
        <v>28</v>
      </c>
      <c r="H12" s="57">
        <f>Priorities!$D$5</f>
        <v>1</v>
      </c>
      <c r="I12" s="56"/>
      <c r="J12" s="50"/>
    </row>
    <row r="13" spans="2:10" x14ac:dyDescent="0.25">
      <c r="B13" s="55"/>
      <c r="C13" s="56"/>
      <c r="D13" s="10"/>
      <c r="E13" s="2"/>
      <c r="F13" s="13"/>
      <c r="G13" s="53" t="s">
        <v>29</v>
      </c>
      <c r="H13" s="57">
        <f>H12*H11</f>
        <v>0</v>
      </c>
      <c r="I13" s="52" t="str">
        <f>CONCATENATE("out of ",Priorities!$E$5," possible.")</f>
        <v>out of 23 possible.</v>
      </c>
      <c r="J13" s="50"/>
    </row>
    <row r="14" spans="2:10" x14ac:dyDescent="0.25">
      <c r="B14" s="55"/>
      <c r="C14" s="56"/>
      <c r="D14" s="10"/>
      <c r="E14" s="2"/>
      <c r="F14" s="13"/>
      <c r="G14" s="53" t="s">
        <v>30</v>
      </c>
      <c r="H14" s="57">
        <v>1</v>
      </c>
      <c r="I14" s="56"/>
      <c r="J14" s="50"/>
    </row>
    <row r="15" spans="2:10" x14ac:dyDescent="0.25">
      <c r="B15" s="55"/>
      <c r="C15" s="56"/>
      <c r="D15" s="10"/>
      <c r="E15" s="2"/>
      <c r="F15" s="13"/>
      <c r="G15" s="58" t="s">
        <v>133</v>
      </c>
      <c r="H15" s="59">
        <f>H11*H14*H12</f>
        <v>0</v>
      </c>
      <c r="I15" s="60"/>
      <c r="J15" s="50"/>
    </row>
    <row r="16" spans="2:10" x14ac:dyDescent="0.25">
      <c r="G16" s="8"/>
      <c r="I16" s="51"/>
    </row>
    <row r="17" spans="2:9" x14ac:dyDescent="0.25">
      <c r="B17" s="85" t="s">
        <v>6</v>
      </c>
      <c r="C17" s="86" t="s">
        <v>7</v>
      </c>
      <c r="D17" s="118" t="s">
        <v>251</v>
      </c>
      <c r="E17" s="87"/>
      <c r="F17" s="88"/>
      <c r="G17" s="88"/>
      <c r="H17" s="89"/>
      <c r="I17" s="51"/>
    </row>
    <row r="18" spans="2:9" x14ac:dyDescent="0.25">
      <c r="B18" s="90"/>
      <c r="C18" s="36"/>
      <c r="D18" s="37" t="s">
        <v>8</v>
      </c>
      <c r="E18" s="38"/>
      <c r="F18" s="39">
        <v>3</v>
      </c>
      <c r="G18" s="39"/>
      <c r="H18" s="91">
        <f>IF(G18="Yes",F18,0)</f>
        <v>0</v>
      </c>
      <c r="I18" s="51"/>
    </row>
    <row r="19" spans="2:9" x14ac:dyDescent="0.25">
      <c r="B19" s="90"/>
      <c r="C19" s="36"/>
      <c r="D19" s="37" t="s">
        <v>10</v>
      </c>
      <c r="E19" s="38"/>
      <c r="F19" s="39">
        <v>3</v>
      </c>
      <c r="G19" s="39"/>
      <c r="H19" s="91">
        <f>IF(G19="Yes",F19,0)</f>
        <v>0</v>
      </c>
      <c r="I19" s="51"/>
    </row>
    <row r="20" spans="2:9" x14ac:dyDescent="0.25">
      <c r="B20" s="90"/>
      <c r="C20" s="36"/>
      <c r="D20" s="37" t="s">
        <v>11</v>
      </c>
      <c r="E20" s="38"/>
      <c r="F20" s="39">
        <v>3</v>
      </c>
      <c r="G20" s="39"/>
      <c r="H20" s="91">
        <f>IF(G20="Yes",F20,0)</f>
        <v>0</v>
      </c>
      <c r="I20" s="51"/>
    </row>
    <row r="21" spans="2:9" x14ac:dyDescent="0.25">
      <c r="B21" s="92"/>
      <c r="C21" s="40"/>
      <c r="D21" s="41" t="s">
        <v>12</v>
      </c>
      <c r="E21" s="42"/>
      <c r="F21" s="43">
        <v>3</v>
      </c>
      <c r="G21" s="43"/>
      <c r="H21" s="93">
        <f>IF(G21="Yes",F21,0)</f>
        <v>0</v>
      </c>
      <c r="I21" s="51"/>
    </row>
    <row r="22" spans="2:9" x14ac:dyDescent="0.25">
      <c r="B22" s="85" t="s">
        <v>6</v>
      </c>
      <c r="C22" s="86" t="s">
        <v>13</v>
      </c>
      <c r="D22" s="118" t="s">
        <v>143</v>
      </c>
      <c r="E22" s="87"/>
      <c r="F22" s="88"/>
      <c r="G22" s="88"/>
      <c r="H22" s="89"/>
      <c r="I22" s="51"/>
    </row>
    <row r="23" spans="2:9" x14ac:dyDescent="0.25">
      <c r="B23" s="116"/>
      <c r="C23" s="81"/>
      <c r="D23" s="82" t="s">
        <v>14</v>
      </c>
      <c r="E23" s="83"/>
      <c r="F23" s="84">
        <v>20</v>
      </c>
      <c r="G23" s="84"/>
      <c r="H23" s="117">
        <f>IF(G23="Yes",F23,0)</f>
        <v>0</v>
      </c>
      <c r="I23" s="51"/>
    </row>
    <row r="24" spans="2:9" x14ac:dyDescent="0.25">
      <c r="B24" s="90"/>
      <c r="C24" s="36"/>
      <c r="D24" s="37" t="s">
        <v>15</v>
      </c>
      <c r="E24" s="38"/>
      <c r="F24" s="39">
        <v>10</v>
      </c>
      <c r="G24" s="39"/>
      <c r="H24" s="91">
        <f>IF(G24="Yes",F24,0)</f>
        <v>0</v>
      </c>
      <c r="I24" s="51"/>
    </row>
    <row r="25" spans="2:9" x14ac:dyDescent="0.25">
      <c r="B25" s="90"/>
      <c r="C25" s="36"/>
      <c r="D25" s="37" t="s">
        <v>17</v>
      </c>
      <c r="E25" s="38"/>
      <c r="F25" s="39">
        <v>3</v>
      </c>
      <c r="G25" s="39"/>
      <c r="H25" s="91">
        <f>IF(G25="Yes",F25,0)</f>
        <v>0</v>
      </c>
      <c r="I25" s="51"/>
    </row>
    <row r="26" spans="2:9" x14ac:dyDescent="0.25">
      <c r="B26" s="92"/>
      <c r="C26" s="40"/>
      <c r="D26" s="41" t="s">
        <v>18</v>
      </c>
      <c r="E26" s="42"/>
      <c r="F26" s="43">
        <v>0</v>
      </c>
      <c r="G26" s="43"/>
      <c r="H26" s="93">
        <f>IF(G26="Yes",F26,0)</f>
        <v>0</v>
      </c>
      <c r="I26" s="51"/>
    </row>
    <row r="27" spans="2:9" x14ac:dyDescent="0.25">
      <c r="B27" s="85" t="s">
        <v>6</v>
      </c>
      <c r="C27" s="86" t="s">
        <v>137</v>
      </c>
      <c r="D27" s="118" t="s">
        <v>177</v>
      </c>
      <c r="E27" s="87"/>
      <c r="F27" s="88"/>
      <c r="G27" s="88"/>
      <c r="H27" s="89"/>
      <c r="I27" s="51"/>
    </row>
    <row r="28" spans="2:9" ht="45" x14ac:dyDescent="0.25">
      <c r="B28" s="116"/>
      <c r="C28" s="81"/>
      <c r="D28" s="82" t="s">
        <v>138</v>
      </c>
      <c r="E28" s="83"/>
      <c r="F28" s="84">
        <v>7</v>
      </c>
      <c r="G28" s="84" t="str">
        <f>IF('Expected Cost'!H16='My Project'!$D$20,"Yes","No")</f>
        <v>Yes</v>
      </c>
      <c r="H28" s="117">
        <f>IF(G28="Yes",F28,0)</f>
        <v>7</v>
      </c>
      <c r="I28" s="51"/>
    </row>
    <row r="29" spans="2:9" ht="30" x14ac:dyDescent="0.25">
      <c r="B29" s="90"/>
      <c r="C29" s="36"/>
      <c r="D29" s="37" t="s">
        <v>139</v>
      </c>
      <c r="E29" s="38"/>
      <c r="F29" s="39">
        <v>3</v>
      </c>
      <c r="G29" s="39" t="str">
        <f>IF(OR('Expected Cost'!H17='My Project'!$D$20,'Expected Cost'!H18='My Project'!$D$20),"Yes","No")</f>
        <v>No</v>
      </c>
      <c r="H29" s="91">
        <f>IF(G29="Yes",F29,0)</f>
        <v>0</v>
      </c>
      <c r="I29" s="51"/>
    </row>
    <row r="30" spans="2:9" x14ac:dyDescent="0.25">
      <c r="B30" s="92"/>
      <c r="C30" s="40"/>
      <c r="D30" s="41" t="s">
        <v>140</v>
      </c>
      <c r="E30" s="42"/>
      <c r="F30" s="43">
        <v>0</v>
      </c>
      <c r="G30" s="43" t="str">
        <f>IF('Expected Cost'!H19='My Project'!$D$20,"Yes","No")</f>
        <v>No</v>
      </c>
      <c r="H30" s="93">
        <f>IF(G30="Yes",F30,0)</f>
        <v>0</v>
      </c>
      <c r="I30" s="51"/>
    </row>
    <row r="31" spans="2:9" x14ac:dyDescent="0.25">
      <c r="B31" s="85" t="s">
        <v>6</v>
      </c>
      <c r="C31" s="86" t="s">
        <v>19</v>
      </c>
      <c r="D31" s="118" t="s">
        <v>175</v>
      </c>
      <c r="E31" s="87"/>
      <c r="F31" s="88"/>
      <c r="G31" s="88"/>
      <c r="H31" s="89"/>
      <c r="I31" s="51"/>
    </row>
    <row r="32" spans="2:9" ht="30" x14ac:dyDescent="0.25">
      <c r="B32" s="116"/>
      <c r="C32" s="81"/>
      <c r="D32" s="82" t="s">
        <v>304</v>
      </c>
      <c r="E32" s="83"/>
      <c r="F32" s="84">
        <v>10</v>
      </c>
      <c r="G32" s="84"/>
      <c r="H32" s="117">
        <f>IF(G32="Yes",F32,0)</f>
        <v>0</v>
      </c>
      <c r="I32" s="51"/>
    </row>
    <row r="33" spans="1:11" ht="30" x14ac:dyDescent="0.25">
      <c r="B33" s="90"/>
      <c r="C33" s="36"/>
      <c r="D33" s="37" t="s">
        <v>305</v>
      </c>
      <c r="E33" s="38"/>
      <c r="F33" s="39">
        <v>3</v>
      </c>
      <c r="G33" s="39"/>
      <c r="H33" s="91">
        <f>IF(G33="Yes",F33,0)</f>
        <v>0</v>
      </c>
      <c r="I33" s="51"/>
    </row>
    <row r="34" spans="1:11" ht="30" x14ac:dyDescent="0.25">
      <c r="B34" s="92"/>
      <c r="C34" s="40"/>
      <c r="D34" s="41" t="s">
        <v>306</v>
      </c>
      <c r="E34" s="42"/>
      <c r="F34" s="43">
        <v>0</v>
      </c>
      <c r="G34" s="43"/>
      <c r="H34" s="93">
        <f>IF(G34="Yes",F34,0)</f>
        <v>0</v>
      </c>
      <c r="I34" s="51"/>
    </row>
    <row r="35" spans="1:11" x14ac:dyDescent="0.25">
      <c r="B35" s="85" t="s">
        <v>6</v>
      </c>
      <c r="C35" s="86" t="s">
        <v>20</v>
      </c>
      <c r="D35" s="118" t="s">
        <v>143</v>
      </c>
      <c r="E35" s="87"/>
      <c r="F35" s="88"/>
      <c r="G35" s="88"/>
      <c r="H35" s="89"/>
      <c r="I35" s="51"/>
    </row>
    <row r="36" spans="1:11" ht="30" x14ac:dyDescent="0.25">
      <c r="B36" s="116"/>
      <c r="C36" s="81"/>
      <c r="D36" s="82" t="s">
        <v>21</v>
      </c>
      <c r="E36" s="83"/>
      <c r="F36" s="84">
        <v>10</v>
      </c>
      <c r="G36" s="84"/>
      <c r="H36" s="117">
        <f>IF(G36="Yes",F36,0)</f>
        <v>0</v>
      </c>
      <c r="I36" s="51"/>
    </row>
    <row r="37" spans="1:11" x14ac:dyDescent="0.25">
      <c r="B37" s="90"/>
      <c r="C37" s="36"/>
      <c r="D37" s="37" t="s">
        <v>22</v>
      </c>
      <c r="E37" s="38"/>
      <c r="F37" s="39">
        <v>3</v>
      </c>
      <c r="G37" s="39"/>
      <c r="H37" s="91">
        <f>IF(G37="Yes",F37,0)</f>
        <v>0</v>
      </c>
      <c r="I37" s="51"/>
    </row>
    <row r="38" spans="1:11" x14ac:dyDescent="0.25">
      <c r="B38" s="92"/>
      <c r="C38" s="40"/>
      <c r="D38" s="41" t="s">
        <v>23</v>
      </c>
      <c r="E38" s="42"/>
      <c r="F38" s="43">
        <v>0</v>
      </c>
      <c r="G38" s="43"/>
      <c r="H38" s="93">
        <f>IF(G38="Yes",F38,0)</f>
        <v>0</v>
      </c>
      <c r="I38" s="51"/>
    </row>
    <row r="39" spans="1:11" x14ac:dyDescent="0.25">
      <c r="B39" s="85" t="s">
        <v>6</v>
      </c>
      <c r="C39" s="86" t="s">
        <v>24</v>
      </c>
      <c r="D39" s="118" t="s">
        <v>327</v>
      </c>
      <c r="E39" s="87"/>
      <c r="F39" s="88"/>
      <c r="G39" s="88"/>
      <c r="H39" s="89"/>
      <c r="I39" s="51"/>
    </row>
    <row r="40" spans="1:11" ht="30" x14ac:dyDescent="0.25">
      <c r="B40" s="92"/>
      <c r="C40" s="40"/>
      <c r="D40" s="41" t="s">
        <v>25</v>
      </c>
      <c r="E40" s="42"/>
      <c r="F40" s="43">
        <v>18</v>
      </c>
      <c r="G40" s="43" t="s">
        <v>26</v>
      </c>
      <c r="H40" s="93"/>
      <c r="I40" s="51"/>
    </row>
    <row r="41" spans="1:11" s="1" customFormat="1" x14ac:dyDescent="0.25">
      <c r="A41" s="24"/>
      <c r="B41" s="24"/>
      <c r="C41" s="24"/>
      <c r="D41" s="25"/>
      <c r="E41" s="26"/>
      <c r="F41" s="27"/>
      <c r="G41" s="29" t="s">
        <v>27</v>
      </c>
      <c r="H41" s="30">
        <f>SUM(H17:H40)</f>
        <v>7</v>
      </c>
      <c r="I41" s="47" t="str">
        <f>CONCATENATE("out of ",Priorities!C6," possible.")</f>
        <v>out of 77 possible.</v>
      </c>
    </row>
    <row r="42" spans="1:11" s="1" customFormat="1" x14ac:dyDescent="0.25">
      <c r="A42" s="24"/>
      <c r="B42" s="24"/>
      <c r="C42" s="24"/>
      <c r="D42" s="25"/>
      <c r="E42" s="26"/>
      <c r="F42" s="27"/>
      <c r="G42" s="29" t="s">
        <v>28</v>
      </c>
      <c r="H42" s="31">
        <f>Priorities!$D$6</f>
        <v>1</v>
      </c>
      <c r="I42" s="55"/>
    </row>
    <row r="43" spans="1:11" s="1" customFormat="1" x14ac:dyDescent="0.25">
      <c r="A43" s="24"/>
      <c r="B43" s="24"/>
      <c r="C43" s="24"/>
      <c r="D43" s="25"/>
      <c r="E43" s="26"/>
      <c r="F43" s="27"/>
      <c r="G43" s="29" t="s">
        <v>29</v>
      </c>
      <c r="H43" s="31">
        <f>H42*H41</f>
        <v>7</v>
      </c>
      <c r="I43" s="47" t="str">
        <f>CONCATENATE("out of ",Priorities!E6," possible.")</f>
        <v>out of 77 possible.</v>
      </c>
    </row>
    <row r="44" spans="1:11" s="1" customFormat="1" x14ac:dyDescent="0.25">
      <c r="A44" s="24"/>
      <c r="B44" s="24"/>
      <c r="C44" s="24"/>
      <c r="D44" s="25"/>
      <c r="E44" s="26"/>
      <c r="F44" s="27"/>
      <c r="G44" s="29" t="s">
        <v>30</v>
      </c>
      <c r="H44" s="31" t="e">
        <f>Parameters!D$28</f>
        <v>#DIV/0!</v>
      </c>
      <c r="I44" s="55"/>
    </row>
    <row r="45" spans="1:11" s="1" customFormat="1" x14ac:dyDescent="0.25">
      <c r="A45" s="24"/>
      <c r="B45" s="24"/>
      <c r="C45" s="24"/>
      <c r="D45" s="25"/>
      <c r="E45" s="26"/>
      <c r="F45" s="27"/>
      <c r="G45" s="32" t="s">
        <v>31</v>
      </c>
      <c r="H45" s="33" t="e">
        <f>H44*H43</f>
        <v>#DIV/0!</v>
      </c>
      <c r="I45" s="47" t="e">
        <f>CONCATENATE("out of ",TEXT(Priorities!$E$6*H44,"##.##")," possible.")</f>
        <v>#DIV/0!</v>
      </c>
      <c r="K45" s="4"/>
    </row>
    <row r="46" spans="1:11" s="1" customFormat="1" x14ac:dyDescent="0.25">
      <c r="A46" s="24"/>
      <c r="B46" s="24"/>
      <c r="C46" s="24"/>
      <c r="D46" s="25"/>
      <c r="E46" s="26"/>
      <c r="F46" s="27"/>
      <c r="G46" s="32"/>
      <c r="H46" s="33"/>
      <c r="I46" s="55"/>
      <c r="K46" s="4"/>
    </row>
    <row r="47" spans="1:11" s="1" customFormat="1" x14ac:dyDescent="0.25">
      <c r="A47" s="24"/>
      <c r="B47" s="85" t="s">
        <v>209</v>
      </c>
      <c r="C47" s="86" t="s">
        <v>230</v>
      </c>
      <c r="D47" s="186"/>
      <c r="E47" s="87"/>
      <c r="F47" s="88"/>
      <c r="G47" s="88"/>
      <c r="H47" s="89"/>
      <c r="I47" s="51"/>
      <c r="K47" s="4"/>
    </row>
    <row r="48" spans="1:11" s="1" customFormat="1" ht="45" x14ac:dyDescent="0.25">
      <c r="A48" s="24"/>
      <c r="B48" s="116"/>
      <c r="C48" s="81"/>
      <c r="D48" s="82" t="s">
        <v>231</v>
      </c>
      <c r="E48" s="83"/>
      <c r="F48" s="84">
        <v>20</v>
      </c>
      <c r="G48" s="84"/>
      <c r="H48" s="117">
        <f>IF(G48="Yes",F48,0)</f>
        <v>0</v>
      </c>
      <c r="I48" s="51"/>
      <c r="K48" s="4"/>
    </row>
    <row r="49" spans="1:11" s="1" customFormat="1" ht="30" x14ac:dyDescent="0.25">
      <c r="A49" s="24"/>
      <c r="B49" s="90"/>
      <c r="C49" s="36"/>
      <c r="D49" s="37" t="s">
        <v>232</v>
      </c>
      <c r="E49" s="38"/>
      <c r="F49" s="39">
        <v>15</v>
      </c>
      <c r="G49" s="84"/>
      <c r="H49" s="91">
        <f>IF(G49="Yes",F49,0)</f>
        <v>0</v>
      </c>
      <c r="I49" s="51"/>
      <c r="K49" s="4"/>
    </row>
    <row r="50" spans="1:11" s="1" customFormat="1" ht="30" x14ac:dyDescent="0.25">
      <c r="A50" s="24"/>
      <c r="B50" s="90"/>
      <c r="C50" s="36"/>
      <c r="D50" s="37" t="s">
        <v>233</v>
      </c>
      <c r="E50" s="38"/>
      <c r="F50" s="39">
        <v>10</v>
      </c>
      <c r="G50" s="84"/>
      <c r="H50" s="91">
        <f>IF(G50="Yes",F50,0)</f>
        <v>0</v>
      </c>
      <c r="I50" s="51"/>
      <c r="K50" s="4"/>
    </row>
    <row r="51" spans="1:11" s="1" customFormat="1" x14ac:dyDescent="0.25">
      <c r="A51" s="24"/>
      <c r="B51" s="92"/>
      <c r="C51" s="40"/>
      <c r="D51" s="41" t="s">
        <v>234</v>
      </c>
      <c r="E51" s="42"/>
      <c r="F51" s="43">
        <v>0</v>
      </c>
      <c r="G51" s="84"/>
      <c r="H51" s="93">
        <f>IF(G51="Yes",F51,0)</f>
        <v>0</v>
      </c>
      <c r="I51" s="51"/>
      <c r="K51" s="4"/>
    </row>
    <row r="52" spans="1:11" s="1" customFormat="1" x14ac:dyDescent="0.25">
      <c r="A52" s="24"/>
      <c r="B52" s="85" t="s">
        <v>209</v>
      </c>
      <c r="C52" s="86" t="s">
        <v>235</v>
      </c>
      <c r="D52" s="186"/>
      <c r="E52" s="87"/>
      <c r="F52" s="88"/>
      <c r="G52" s="88"/>
      <c r="H52" s="89"/>
      <c r="I52" s="51"/>
      <c r="K52" s="4"/>
    </row>
    <row r="53" spans="1:11" s="1" customFormat="1" ht="45" x14ac:dyDescent="0.25">
      <c r="A53" s="24"/>
      <c r="B53" s="116"/>
      <c r="C53" s="81"/>
      <c r="D53" s="82" t="s">
        <v>236</v>
      </c>
      <c r="E53" s="83"/>
      <c r="F53" s="84">
        <v>30</v>
      </c>
      <c r="G53" s="84"/>
      <c r="H53" s="117">
        <f>IF(G53="Yes",F53,0)</f>
        <v>0</v>
      </c>
      <c r="I53" s="51"/>
      <c r="K53" s="4"/>
    </row>
    <row r="54" spans="1:11" s="1" customFormat="1" ht="60" x14ac:dyDescent="0.25">
      <c r="A54" s="24"/>
      <c r="B54" s="90"/>
      <c r="C54" s="36"/>
      <c r="D54" s="37" t="s">
        <v>237</v>
      </c>
      <c r="E54" s="38"/>
      <c r="F54" s="39">
        <v>15</v>
      </c>
      <c r="G54" s="84"/>
      <c r="H54" s="91">
        <f>IF(G54="Yes",F54,0)</f>
        <v>0</v>
      </c>
      <c r="I54" s="51"/>
      <c r="K54" s="4"/>
    </row>
    <row r="55" spans="1:11" s="1" customFormat="1" ht="60" x14ac:dyDescent="0.25">
      <c r="A55" s="24"/>
      <c r="B55" s="90"/>
      <c r="C55" s="36"/>
      <c r="D55" s="37" t="s">
        <v>238</v>
      </c>
      <c r="E55" s="38"/>
      <c r="F55" s="39">
        <v>5</v>
      </c>
      <c r="G55" s="84"/>
      <c r="H55" s="91">
        <f>IF(G55="Yes",F55,0)</f>
        <v>0</v>
      </c>
      <c r="I55" s="51"/>
      <c r="K55" s="4"/>
    </row>
    <row r="56" spans="1:11" s="1" customFormat="1" ht="60" x14ac:dyDescent="0.25">
      <c r="A56" s="24"/>
      <c r="B56" s="92"/>
      <c r="C56" s="40"/>
      <c r="D56" s="41" t="s">
        <v>239</v>
      </c>
      <c r="E56" s="42"/>
      <c r="F56" s="43">
        <v>0</v>
      </c>
      <c r="G56" s="84"/>
      <c r="H56" s="93">
        <f>IF(G56="Yes",F56,0)</f>
        <v>0</v>
      </c>
      <c r="I56" s="51"/>
      <c r="K56" s="4"/>
    </row>
    <row r="57" spans="1:11" s="1" customFormat="1" x14ac:dyDescent="0.25">
      <c r="A57" s="24"/>
      <c r="B57" s="85" t="s">
        <v>209</v>
      </c>
      <c r="C57" s="86" t="s">
        <v>240</v>
      </c>
      <c r="D57" s="186"/>
      <c r="E57" s="87"/>
      <c r="F57" s="88"/>
      <c r="G57" s="88"/>
      <c r="H57" s="89"/>
      <c r="I57" s="51"/>
      <c r="K57" s="4"/>
    </row>
    <row r="58" spans="1:11" s="1" customFormat="1" ht="45" x14ac:dyDescent="0.25">
      <c r="A58" s="24"/>
      <c r="B58" s="116"/>
      <c r="C58" s="81"/>
      <c r="D58" s="82" t="s">
        <v>241</v>
      </c>
      <c r="E58" s="83"/>
      <c r="F58" s="84">
        <v>12</v>
      </c>
      <c r="G58" s="84"/>
      <c r="H58" s="117">
        <f>IF(G58="Yes",F58,0)</f>
        <v>0</v>
      </c>
      <c r="I58" s="51"/>
      <c r="K58" s="4"/>
    </row>
    <row r="59" spans="1:11" s="1" customFormat="1" x14ac:dyDescent="0.25">
      <c r="A59" s="24"/>
      <c r="B59" s="90"/>
      <c r="C59" s="36"/>
      <c r="D59" s="37" t="s">
        <v>242</v>
      </c>
      <c r="E59" s="38"/>
      <c r="F59" s="39">
        <v>6</v>
      </c>
      <c r="G59" s="84"/>
      <c r="H59" s="91">
        <f>IF(G59="Yes",F59,0)</f>
        <v>0</v>
      </c>
      <c r="I59" s="51"/>
      <c r="K59" s="4"/>
    </row>
    <row r="60" spans="1:11" s="1" customFormat="1" x14ac:dyDescent="0.25">
      <c r="A60" s="24"/>
      <c r="B60" s="92"/>
      <c r="C60" s="40"/>
      <c r="D60" s="41" t="s">
        <v>243</v>
      </c>
      <c r="E60" s="42"/>
      <c r="F60" s="43">
        <v>0</v>
      </c>
      <c r="G60" s="84"/>
      <c r="H60" s="93">
        <f>IF(G60="Yes",F60,0)</f>
        <v>0</v>
      </c>
      <c r="I60" s="51"/>
      <c r="K60" s="4"/>
    </row>
    <row r="61" spans="1:11" s="1" customFormat="1" x14ac:dyDescent="0.25">
      <c r="A61" s="24"/>
      <c r="B61" s="85" t="s">
        <v>209</v>
      </c>
      <c r="C61" s="86" t="s">
        <v>244</v>
      </c>
      <c r="D61" s="186"/>
      <c r="E61" s="87"/>
      <c r="F61" s="88"/>
      <c r="G61" s="88"/>
      <c r="H61" s="89"/>
      <c r="I61" s="51"/>
      <c r="K61" s="4"/>
    </row>
    <row r="62" spans="1:11" s="1" customFormat="1" ht="30" x14ac:dyDescent="0.25">
      <c r="A62" s="24"/>
      <c r="B62" s="116"/>
      <c r="C62" s="81"/>
      <c r="D62" s="82" t="s">
        <v>245</v>
      </c>
      <c r="E62" s="83"/>
      <c r="F62" s="84">
        <v>15</v>
      </c>
      <c r="G62" s="84"/>
      <c r="H62" s="117">
        <f>IF(G62="Yes",F62,0)</f>
        <v>0</v>
      </c>
      <c r="I62" s="51"/>
      <c r="K62" s="4"/>
    </row>
    <row r="63" spans="1:11" s="1" customFormat="1" ht="30" x14ac:dyDescent="0.25">
      <c r="A63" s="24"/>
      <c r="B63" s="90"/>
      <c r="C63" s="36"/>
      <c r="D63" s="37" t="s">
        <v>246</v>
      </c>
      <c r="E63" s="38"/>
      <c r="F63" s="39">
        <v>10</v>
      </c>
      <c r="G63" s="84"/>
      <c r="H63" s="91">
        <f>IF(G63="Yes",F63,0)</f>
        <v>0</v>
      </c>
      <c r="I63" s="51"/>
      <c r="K63" s="4"/>
    </row>
    <row r="64" spans="1:11" s="1" customFormat="1" ht="30" x14ac:dyDescent="0.25">
      <c r="A64" s="24"/>
      <c r="B64" s="90"/>
      <c r="C64" s="36"/>
      <c r="D64" s="37" t="s">
        <v>247</v>
      </c>
      <c r="E64" s="38"/>
      <c r="F64" s="39">
        <v>5</v>
      </c>
      <c r="G64" s="84"/>
      <c r="H64" s="91">
        <f>IF(G64="Yes",F64,0)</f>
        <v>0</v>
      </c>
      <c r="I64" s="51"/>
      <c r="K64" s="4"/>
    </row>
    <row r="65" spans="1:11" s="1" customFormat="1" ht="30" x14ac:dyDescent="0.25">
      <c r="A65" s="24"/>
      <c r="B65" s="92"/>
      <c r="C65" s="40"/>
      <c r="D65" s="41" t="s">
        <v>248</v>
      </c>
      <c r="E65" s="42"/>
      <c r="F65" s="43">
        <v>0</v>
      </c>
      <c r="G65" s="43"/>
      <c r="H65" s="93">
        <f>IF(G65="Yes",F65,0)</f>
        <v>0</v>
      </c>
      <c r="I65" s="51"/>
      <c r="K65" s="4"/>
    </row>
    <row r="66" spans="1:11" s="1" customFormat="1" x14ac:dyDescent="0.25">
      <c r="A66" s="24"/>
      <c r="B66" s="24"/>
      <c r="C66" s="24" t="s">
        <v>249</v>
      </c>
      <c r="D66" s="25"/>
      <c r="E66" s="26"/>
      <c r="F66" s="27"/>
      <c r="G66" s="29" t="s">
        <v>249</v>
      </c>
      <c r="H66" s="30">
        <f>SUM(H47:H65)</f>
        <v>0</v>
      </c>
      <c r="I66" s="47" t="str">
        <f>CONCATENATE("out of ",Priorities!$C$10," possible.")</f>
        <v>out of 77 possible.</v>
      </c>
      <c r="K66" s="4"/>
    </row>
    <row r="67" spans="1:11" s="1" customFormat="1" x14ac:dyDescent="0.25">
      <c r="A67" s="24"/>
      <c r="B67" s="24"/>
      <c r="C67" s="24"/>
      <c r="D67" s="25"/>
      <c r="E67" s="26"/>
      <c r="F67" s="27"/>
      <c r="G67" s="29" t="s">
        <v>28</v>
      </c>
      <c r="H67" s="31">
        <f>Priorities!$D$10</f>
        <v>1</v>
      </c>
      <c r="I67" s="55"/>
      <c r="K67" s="4"/>
    </row>
    <row r="68" spans="1:11" s="1" customFormat="1" x14ac:dyDescent="0.25">
      <c r="A68" s="24"/>
      <c r="B68" s="24"/>
      <c r="C68" s="24"/>
      <c r="D68" s="25"/>
      <c r="E68" s="26"/>
      <c r="F68" s="27"/>
      <c r="G68" s="29" t="s">
        <v>29</v>
      </c>
      <c r="H68" s="31">
        <f>H67*H66</f>
        <v>0</v>
      </c>
      <c r="I68" s="47" t="str">
        <f>CONCATENATE("out of ",Priorities!$E$10," possible.")</f>
        <v>out of 77 possible.</v>
      </c>
      <c r="K68" s="4"/>
    </row>
    <row r="69" spans="1:11" s="1" customFormat="1" x14ac:dyDescent="0.25">
      <c r="A69" s="24"/>
      <c r="B69" s="24"/>
      <c r="C69" s="24"/>
      <c r="D69" s="25"/>
      <c r="E69" s="26"/>
      <c r="F69" s="27"/>
      <c r="G69" s="29" t="s">
        <v>30</v>
      </c>
      <c r="H69" s="31" t="e">
        <f>Parameters!D29</f>
        <v>#DIV/0!</v>
      </c>
      <c r="I69" s="55"/>
      <c r="K69" s="4"/>
    </row>
    <row r="70" spans="1:11" s="1" customFormat="1" x14ac:dyDescent="0.25">
      <c r="A70" s="24"/>
      <c r="B70" s="24"/>
      <c r="C70" s="24"/>
      <c r="D70" s="25"/>
      <c r="E70" s="26"/>
      <c r="F70" s="27"/>
      <c r="G70" s="32" t="s">
        <v>250</v>
      </c>
      <c r="H70" s="33" t="e">
        <f>+H66*H69*H67</f>
        <v>#DIV/0!</v>
      </c>
      <c r="I70" s="47" t="e">
        <f>CONCATENATE("out of ",TEXT(Priorities!$E$10*H69,"##.##")," possible.")</f>
        <v>#DIV/0!</v>
      </c>
      <c r="K70" s="4"/>
    </row>
    <row r="71" spans="1:11" x14ac:dyDescent="0.25">
      <c r="I71" s="51"/>
    </row>
    <row r="72" spans="1:11" x14ac:dyDescent="0.25">
      <c r="B72" s="85" t="s">
        <v>32</v>
      </c>
      <c r="C72" s="86" t="s">
        <v>33</v>
      </c>
      <c r="D72" s="252" t="s">
        <v>314</v>
      </c>
      <c r="E72" s="252"/>
      <c r="F72" s="252"/>
      <c r="G72" s="252"/>
      <c r="H72" s="253"/>
      <c r="I72" s="51"/>
    </row>
    <row r="73" spans="1:11" x14ac:dyDescent="0.25">
      <c r="B73" s="116"/>
      <c r="C73" s="81"/>
      <c r="D73" s="82" t="s">
        <v>34</v>
      </c>
      <c r="E73" s="83"/>
      <c r="F73" s="84">
        <v>16</v>
      </c>
      <c r="G73" s="84" t="str">
        <f>IF('My Project'!$E$118&gt;50,"Yes","No")</f>
        <v>No</v>
      </c>
      <c r="H73" s="117">
        <f>IF(G73="Yes",F73,0)</f>
        <v>0</v>
      </c>
      <c r="I73" s="51"/>
    </row>
    <row r="74" spans="1:11" x14ac:dyDescent="0.25">
      <c r="B74" s="90"/>
      <c r="C74" s="36"/>
      <c r="D74" s="37" t="s">
        <v>35</v>
      </c>
      <c r="E74" s="38"/>
      <c r="F74" s="39">
        <v>13</v>
      </c>
      <c r="G74" s="84" t="str">
        <f>IF(AND('My Project'!$E$118&gt;40,'My Project'!$E$118&lt;=50),"Yes","No")</f>
        <v>No</v>
      </c>
      <c r="H74" s="91">
        <f t="shared" ref="H74:H87" si="0">IF(G74="Yes",F74,0)</f>
        <v>0</v>
      </c>
      <c r="I74" s="51"/>
    </row>
    <row r="75" spans="1:11" x14ac:dyDescent="0.25">
      <c r="B75" s="90"/>
      <c r="C75" s="36"/>
      <c r="D75" s="37" t="s">
        <v>36</v>
      </c>
      <c r="E75" s="38"/>
      <c r="F75" s="39">
        <v>11</v>
      </c>
      <c r="G75" s="84" t="str">
        <f>IF(AND('My Project'!$E$118&gt;35,'My Project'!$E$118&lt;=40),"Yes","No")</f>
        <v>No</v>
      </c>
      <c r="H75" s="91">
        <f t="shared" si="0"/>
        <v>0</v>
      </c>
      <c r="I75" s="51"/>
    </row>
    <row r="76" spans="1:11" x14ac:dyDescent="0.25">
      <c r="B76" s="90"/>
      <c r="C76" s="36"/>
      <c r="D76" s="37" t="s">
        <v>37</v>
      </c>
      <c r="E76" s="38"/>
      <c r="F76" s="39">
        <v>8</v>
      </c>
      <c r="G76" s="84" t="str">
        <f>IF(AND('My Project'!$E$118&gt;30,'My Project'!$E$118&lt;=35),"Yes","No")</f>
        <v>No</v>
      </c>
      <c r="H76" s="91">
        <f t="shared" si="0"/>
        <v>0</v>
      </c>
      <c r="I76" s="51"/>
    </row>
    <row r="77" spans="1:11" x14ac:dyDescent="0.25">
      <c r="B77" s="90"/>
      <c r="C77" s="36"/>
      <c r="D77" s="37" t="s">
        <v>38</v>
      </c>
      <c r="E77" s="38"/>
      <c r="F77" s="39">
        <v>5</v>
      </c>
      <c r="G77" s="84" t="str">
        <f>IF(AND('My Project'!$E$118&gt;25,'My Project'!$E$118&lt;=30),"Yes","No")</f>
        <v>No</v>
      </c>
      <c r="H77" s="91">
        <f t="shared" si="0"/>
        <v>0</v>
      </c>
      <c r="I77" s="51"/>
    </row>
    <row r="78" spans="1:11" x14ac:dyDescent="0.25">
      <c r="B78" s="90"/>
      <c r="C78" s="36"/>
      <c r="D78" s="37" t="s">
        <v>39</v>
      </c>
      <c r="E78" s="38"/>
      <c r="F78" s="39">
        <v>2</v>
      </c>
      <c r="G78" s="84" t="str">
        <f>IF(AND('My Project'!$E$118&gt;=20,'My Project'!$E$118&lt;=25),"Yes","No")</f>
        <v>No</v>
      </c>
      <c r="H78" s="91">
        <f t="shared" si="0"/>
        <v>0</v>
      </c>
      <c r="I78" s="51"/>
    </row>
    <row r="79" spans="1:11" x14ac:dyDescent="0.25">
      <c r="B79" s="92"/>
      <c r="C79" s="40"/>
      <c r="D79" s="100" t="s">
        <v>40</v>
      </c>
      <c r="E79" s="101"/>
      <c r="F79" s="43">
        <v>0</v>
      </c>
      <c r="G79" s="84" t="str">
        <f>IF('My Project'!$E$118&lt;20,"Yes","No")</f>
        <v>Yes</v>
      </c>
      <c r="H79" s="93">
        <f t="shared" si="0"/>
        <v>0</v>
      </c>
      <c r="I79" s="51"/>
    </row>
    <row r="80" spans="1:11" x14ac:dyDescent="0.25">
      <c r="B80" s="85" t="s">
        <v>32</v>
      </c>
      <c r="C80" s="86" t="s">
        <v>41</v>
      </c>
      <c r="D80" s="252" t="s">
        <v>314</v>
      </c>
      <c r="E80" s="252"/>
      <c r="F80" s="252"/>
      <c r="G80" s="252"/>
      <c r="H80" s="253"/>
      <c r="I80" s="51"/>
    </row>
    <row r="81" spans="2:9" x14ac:dyDescent="0.25">
      <c r="B81" s="116"/>
      <c r="C81" s="81"/>
      <c r="D81" s="82" t="s">
        <v>42</v>
      </c>
      <c r="E81" s="83"/>
      <c r="F81" s="84">
        <v>2</v>
      </c>
      <c r="G81" s="84" t="str">
        <f>IF('My Project'!$E$128&gt;600,"Yes","No")</f>
        <v>No</v>
      </c>
      <c r="H81" s="117">
        <f t="shared" ref="H81" si="1">IF(G81="Yes",F81,0)</f>
        <v>0</v>
      </c>
      <c r="I81" s="51"/>
    </row>
    <row r="82" spans="2:9" x14ac:dyDescent="0.25">
      <c r="B82" s="90"/>
      <c r="C82" s="36"/>
      <c r="D82" s="37" t="s">
        <v>43</v>
      </c>
      <c r="E82" s="38"/>
      <c r="F82" s="39">
        <v>11</v>
      </c>
      <c r="G82" s="84" t="str">
        <f>IF(AND('My Project'!$E$128&gt;525,'My Project'!$E$128&lt;=600),"Yes","No")</f>
        <v>No</v>
      </c>
      <c r="H82" s="91">
        <f t="shared" si="0"/>
        <v>0</v>
      </c>
      <c r="I82" s="51"/>
    </row>
    <row r="83" spans="2:9" x14ac:dyDescent="0.25">
      <c r="B83" s="90"/>
      <c r="C83" s="36"/>
      <c r="D83" s="37" t="s">
        <v>44</v>
      </c>
      <c r="E83" s="38"/>
      <c r="F83" s="39">
        <v>16</v>
      </c>
      <c r="G83" s="84" t="str">
        <f>IF(AND('My Project'!$E$128&gt;475,'My Project'!$E$128&lt;=525),"Yes","No")</f>
        <v>No</v>
      </c>
      <c r="H83" s="91">
        <f t="shared" si="0"/>
        <v>0</v>
      </c>
      <c r="I83" s="51"/>
    </row>
    <row r="84" spans="2:9" x14ac:dyDescent="0.25">
      <c r="B84" s="90"/>
      <c r="C84" s="36"/>
      <c r="D84" s="37" t="s">
        <v>45</v>
      </c>
      <c r="E84" s="38"/>
      <c r="F84" s="39">
        <v>11</v>
      </c>
      <c r="G84" s="84" t="str">
        <f>IF(AND('My Project'!$E$128&gt;450,'My Project'!$E$128&lt;=475),"Yes","No")</f>
        <v>No</v>
      </c>
      <c r="H84" s="91">
        <f t="shared" si="0"/>
        <v>0</v>
      </c>
      <c r="I84" s="51"/>
    </row>
    <row r="85" spans="2:9" x14ac:dyDescent="0.25">
      <c r="B85" s="90"/>
      <c r="C85" s="36"/>
      <c r="D85" s="37" t="s">
        <v>46</v>
      </c>
      <c r="E85" s="38"/>
      <c r="F85" s="39">
        <v>2</v>
      </c>
      <c r="G85" s="84" t="str">
        <f>IF(AND('My Project'!$E$128&gt;350,'My Project'!$E$128&lt;=451),"Yes","No")</f>
        <v>No</v>
      </c>
      <c r="H85" s="91">
        <f t="shared" si="0"/>
        <v>0</v>
      </c>
      <c r="I85" s="51"/>
    </row>
    <row r="86" spans="2:9" x14ac:dyDescent="0.25">
      <c r="B86" s="90"/>
      <c r="C86" s="36"/>
      <c r="D86" s="37" t="s">
        <v>47</v>
      </c>
      <c r="E86" s="38"/>
      <c r="F86" s="39">
        <v>0</v>
      </c>
      <c r="G86" s="84" t="str">
        <f>IF(AND('My Project'!$E$128&gt;275,'My Project'!$E$128&lt;=350),"Yes","No")</f>
        <v>No</v>
      </c>
      <c r="H86" s="91">
        <f t="shared" si="0"/>
        <v>0</v>
      </c>
      <c r="I86" s="51"/>
    </row>
    <row r="87" spans="2:9" x14ac:dyDescent="0.25">
      <c r="B87" s="92"/>
      <c r="C87" s="40"/>
      <c r="D87" s="41" t="s">
        <v>73</v>
      </c>
      <c r="E87" s="42"/>
      <c r="F87" s="43">
        <v>-5</v>
      </c>
      <c r="G87" s="84" t="str">
        <f>IF('My Project'!$E$128&lt;=275,"Yes","No")</f>
        <v>Yes</v>
      </c>
      <c r="H87" s="93">
        <f t="shared" si="0"/>
        <v>-5</v>
      </c>
      <c r="I87" s="51"/>
    </row>
    <row r="88" spans="2:9" x14ac:dyDescent="0.25">
      <c r="B88" s="85" t="s">
        <v>32</v>
      </c>
      <c r="C88" s="86" t="s">
        <v>137</v>
      </c>
      <c r="D88" s="215" t="s">
        <v>177</v>
      </c>
      <c r="E88" s="87"/>
      <c r="F88" s="88"/>
      <c r="G88" s="88"/>
      <c r="H88" s="89"/>
      <c r="I88" s="51"/>
    </row>
    <row r="89" spans="2:9" ht="45" x14ac:dyDescent="0.25">
      <c r="B89" s="116"/>
      <c r="C89" s="81"/>
      <c r="D89" s="82" t="s">
        <v>138</v>
      </c>
      <c r="E89" s="83"/>
      <c r="F89" s="84">
        <v>10</v>
      </c>
      <c r="G89" s="84" t="str">
        <f>IF('Expected Cost'!H16='My Project'!$D$20,"Yes","No")</f>
        <v>Yes</v>
      </c>
      <c r="H89" s="117">
        <f>IF(G89="Yes",F89,0)</f>
        <v>10</v>
      </c>
      <c r="I89" s="51"/>
    </row>
    <row r="90" spans="2:9" ht="30" x14ac:dyDescent="0.25">
      <c r="B90" s="90"/>
      <c r="C90" s="36"/>
      <c r="D90" s="37" t="s">
        <v>141</v>
      </c>
      <c r="E90" s="38"/>
      <c r="F90" s="39">
        <v>8</v>
      </c>
      <c r="G90" s="39" t="str">
        <f>IF('Expected Cost'!H17='My Project'!$D$20,"Yes","No")</f>
        <v>No</v>
      </c>
      <c r="H90" s="91">
        <f>IF(G90="Yes",F90,0)</f>
        <v>0</v>
      </c>
      <c r="I90" s="51"/>
    </row>
    <row r="91" spans="2:9" ht="30" x14ac:dyDescent="0.25">
      <c r="B91" s="90"/>
      <c r="C91" s="36"/>
      <c r="D91" s="37" t="s">
        <v>142</v>
      </c>
      <c r="E91" s="38"/>
      <c r="F91" s="39">
        <v>2</v>
      </c>
      <c r="G91" s="39" t="str">
        <f>IF('Expected Cost'!H18='My Project'!$D$20,"Yes","No")</f>
        <v>No</v>
      </c>
      <c r="H91" s="91">
        <f>IF(G91="Yes",F91,0)</f>
        <v>0</v>
      </c>
      <c r="I91" s="51"/>
    </row>
    <row r="92" spans="2:9" x14ac:dyDescent="0.25">
      <c r="B92" s="92"/>
      <c r="C92" s="40"/>
      <c r="D92" s="41" t="s">
        <v>140</v>
      </c>
      <c r="E92" s="42"/>
      <c r="F92" s="43">
        <v>0</v>
      </c>
      <c r="G92" s="43" t="str">
        <f>IF('Expected Cost'!H19='My Project'!$D$20,"Yes","No")</f>
        <v>No</v>
      </c>
      <c r="H92" s="93">
        <f>IF(G92="Yes",F92,0)</f>
        <v>0</v>
      </c>
      <c r="I92" s="51"/>
    </row>
    <row r="93" spans="2:9" ht="30" x14ac:dyDescent="0.25">
      <c r="B93" s="85" t="s">
        <v>32</v>
      </c>
      <c r="C93" s="86" t="s">
        <v>48</v>
      </c>
      <c r="D93" s="215" t="s">
        <v>254</v>
      </c>
      <c r="E93" s="102" t="s">
        <v>49</v>
      </c>
      <c r="F93" s="103"/>
      <c r="G93" s="102" t="s">
        <v>50</v>
      </c>
      <c r="H93" s="89"/>
      <c r="I93" s="51"/>
    </row>
    <row r="94" spans="2:9" x14ac:dyDescent="0.25">
      <c r="B94" s="90"/>
      <c r="C94" s="36"/>
      <c r="D94" s="37" t="s">
        <v>51</v>
      </c>
      <c r="E94" s="44">
        <v>0</v>
      </c>
      <c r="F94" s="39">
        <v>13</v>
      </c>
      <c r="G94" s="45">
        <f t="shared" ref="G94:G100" si="2">IF(E94&gt;0,E94/SUM(E$94:E$100),0)</f>
        <v>0</v>
      </c>
      <c r="H94" s="174">
        <f>G94*F94</f>
        <v>0</v>
      </c>
      <c r="I94" s="51"/>
    </row>
    <row r="95" spans="2:9" x14ac:dyDescent="0.25">
      <c r="B95" s="90"/>
      <c r="C95" s="36"/>
      <c r="D95" s="37" t="s">
        <v>52</v>
      </c>
      <c r="E95" s="44">
        <v>0</v>
      </c>
      <c r="F95" s="39">
        <v>13</v>
      </c>
      <c r="G95" s="45">
        <f t="shared" si="2"/>
        <v>0</v>
      </c>
      <c r="H95" s="174">
        <f t="shared" ref="H95:H100" si="3">G95*F95</f>
        <v>0</v>
      </c>
      <c r="I95" s="51"/>
    </row>
    <row r="96" spans="2:9" x14ac:dyDescent="0.25">
      <c r="B96" s="90"/>
      <c r="C96" s="36"/>
      <c r="D96" s="37" t="s">
        <v>53</v>
      </c>
      <c r="E96" s="44">
        <v>0</v>
      </c>
      <c r="F96" s="39">
        <v>13</v>
      </c>
      <c r="G96" s="45">
        <f t="shared" si="2"/>
        <v>0</v>
      </c>
      <c r="H96" s="174">
        <f t="shared" si="3"/>
        <v>0</v>
      </c>
      <c r="I96" s="51"/>
    </row>
    <row r="97" spans="1:9" x14ac:dyDescent="0.25">
      <c r="B97" s="90"/>
      <c r="C97" s="36"/>
      <c r="D97" s="37" t="s">
        <v>54</v>
      </c>
      <c r="E97" s="44">
        <v>0</v>
      </c>
      <c r="F97" s="39">
        <v>11</v>
      </c>
      <c r="G97" s="45">
        <f t="shared" si="2"/>
        <v>0</v>
      </c>
      <c r="H97" s="174">
        <f t="shared" si="3"/>
        <v>0</v>
      </c>
      <c r="I97" s="51"/>
    </row>
    <row r="98" spans="1:9" x14ac:dyDescent="0.25">
      <c r="B98" s="90"/>
      <c r="C98" s="36"/>
      <c r="D98" s="37" t="s">
        <v>55</v>
      </c>
      <c r="E98" s="44">
        <v>0</v>
      </c>
      <c r="F98" s="39">
        <v>8</v>
      </c>
      <c r="G98" s="45">
        <f t="shared" si="2"/>
        <v>0</v>
      </c>
      <c r="H98" s="174">
        <f t="shared" si="3"/>
        <v>0</v>
      </c>
      <c r="I98" s="51"/>
    </row>
    <row r="99" spans="1:9" x14ac:dyDescent="0.25">
      <c r="B99" s="90"/>
      <c r="C99" s="36"/>
      <c r="D99" s="37" t="s">
        <v>56</v>
      </c>
      <c r="E99" s="44">
        <v>0</v>
      </c>
      <c r="F99" s="39">
        <v>5</v>
      </c>
      <c r="G99" s="45">
        <f t="shared" si="2"/>
        <v>0</v>
      </c>
      <c r="H99" s="174">
        <f t="shared" si="3"/>
        <v>0</v>
      </c>
      <c r="I99" s="51"/>
    </row>
    <row r="100" spans="1:9" x14ac:dyDescent="0.25">
      <c r="B100" s="92"/>
      <c r="C100" s="40"/>
      <c r="D100" s="41" t="s">
        <v>57</v>
      </c>
      <c r="E100" s="104">
        <v>0</v>
      </c>
      <c r="F100" s="43">
        <v>2</v>
      </c>
      <c r="G100" s="105">
        <f t="shared" si="2"/>
        <v>0</v>
      </c>
      <c r="H100" s="175">
        <f t="shared" si="3"/>
        <v>0</v>
      </c>
      <c r="I100" s="51"/>
    </row>
    <row r="101" spans="1:9" x14ac:dyDescent="0.25">
      <c r="B101" s="85" t="s">
        <v>32</v>
      </c>
      <c r="C101" s="86" t="s">
        <v>260</v>
      </c>
      <c r="D101" s="118" t="s">
        <v>253</v>
      </c>
      <c r="E101" s="87"/>
      <c r="F101" s="88"/>
      <c r="G101" s="88"/>
      <c r="H101" s="89"/>
      <c r="I101" s="51"/>
    </row>
    <row r="102" spans="1:9" ht="30" x14ac:dyDescent="0.25">
      <c r="B102" s="116"/>
      <c r="C102" s="81"/>
      <c r="D102" s="82" t="s">
        <v>257</v>
      </c>
      <c r="E102" s="83"/>
      <c r="F102" s="84">
        <v>2</v>
      </c>
      <c r="G102" s="84"/>
      <c r="H102" s="117">
        <f t="shared" ref="H102" si="4">IF(G102="Yes",F102,0)</f>
        <v>0</v>
      </c>
      <c r="I102" s="51"/>
    </row>
    <row r="103" spans="1:9" x14ac:dyDescent="0.25">
      <c r="B103" s="90"/>
      <c r="C103" s="36"/>
      <c r="D103" s="37" t="s">
        <v>60</v>
      </c>
      <c r="E103" s="38"/>
      <c r="F103" s="39">
        <v>2</v>
      </c>
      <c r="G103" s="39"/>
      <c r="H103" s="91">
        <f t="shared" ref="H103:H109" si="5">IF(G103="Yes",F103,0)</f>
        <v>0</v>
      </c>
      <c r="I103" s="51"/>
    </row>
    <row r="104" spans="1:9" x14ac:dyDescent="0.25">
      <c r="B104" s="90"/>
      <c r="C104" s="36"/>
      <c r="D104" s="37" t="s">
        <v>258</v>
      </c>
      <c r="E104" s="38"/>
      <c r="F104" s="39">
        <v>2</v>
      </c>
      <c r="G104" s="39"/>
      <c r="H104" s="91">
        <f t="shared" si="5"/>
        <v>0</v>
      </c>
      <c r="I104" s="51"/>
    </row>
    <row r="105" spans="1:9" x14ac:dyDescent="0.25">
      <c r="B105" s="92"/>
      <c r="C105" s="40"/>
      <c r="D105" s="41" t="s">
        <v>259</v>
      </c>
      <c r="E105" s="42"/>
      <c r="F105" s="43">
        <v>2</v>
      </c>
      <c r="G105" s="43"/>
      <c r="H105" s="93">
        <f t="shared" si="5"/>
        <v>0</v>
      </c>
      <c r="I105" s="51"/>
    </row>
    <row r="106" spans="1:9" x14ac:dyDescent="0.25">
      <c r="B106" s="85" t="s">
        <v>32</v>
      </c>
      <c r="C106" s="86" t="s">
        <v>63</v>
      </c>
      <c r="D106" s="215" t="s">
        <v>176</v>
      </c>
      <c r="E106" s="87"/>
      <c r="F106" s="88"/>
      <c r="G106" s="88"/>
      <c r="H106" s="89"/>
      <c r="I106" s="51"/>
    </row>
    <row r="107" spans="1:9" x14ac:dyDescent="0.25">
      <c r="B107" s="116"/>
      <c r="C107" s="81"/>
      <c r="D107" s="82" t="s">
        <v>64</v>
      </c>
      <c r="E107" s="83"/>
      <c r="F107" s="84">
        <v>8</v>
      </c>
      <c r="G107" s="84"/>
      <c r="H107" s="117">
        <f t="shared" ref="H107" si="6">IF(G107="Yes",F107,0)</f>
        <v>0</v>
      </c>
      <c r="I107" s="51"/>
    </row>
    <row r="108" spans="1:9" x14ac:dyDescent="0.25">
      <c r="B108" s="90"/>
      <c r="C108" s="36"/>
      <c r="D108" s="37" t="s">
        <v>65</v>
      </c>
      <c r="E108" s="38"/>
      <c r="F108" s="39">
        <v>5</v>
      </c>
      <c r="G108" s="39"/>
      <c r="H108" s="91">
        <f t="shared" si="5"/>
        <v>0</v>
      </c>
      <c r="I108" s="51"/>
    </row>
    <row r="109" spans="1:9" x14ac:dyDescent="0.25">
      <c r="B109" s="92"/>
      <c r="C109" s="40"/>
      <c r="D109" s="41" t="s">
        <v>66</v>
      </c>
      <c r="E109" s="42"/>
      <c r="F109" s="43">
        <v>2</v>
      </c>
      <c r="G109" s="43"/>
      <c r="H109" s="93">
        <f t="shared" si="5"/>
        <v>0</v>
      </c>
      <c r="I109" s="51"/>
    </row>
    <row r="110" spans="1:9" ht="45" x14ac:dyDescent="0.25">
      <c r="B110" s="94" t="s">
        <v>32</v>
      </c>
      <c r="C110" s="95" t="s">
        <v>255</v>
      </c>
      <c r="D110" s="96" t="s">
        <v>256</v>
      </c>
      <c r="E110" s="97"/>
      <c r="F110" s="98">
        <v>6</v>
      </c>
      <c r="G110" s="98" t="s">
        <v>67</v>
      </c>
      <c r="H110" s="99"/>
      <c r="I110" s="51"/>
    </row>
    <row r="111" spans="1:9" s="1" customFormat="1" x14ac:dyDescent="0.25">
      <c r="A111" s="24"/>
      <c r="B111" s="24"/>
      <c r="C111" s="24" t="s">
        <v>68</v>
      </c>
      <c r="D111" s="25"/>
      <c r="E111" s="26"/>
      <c r="F111" s="27"/>
      <c r="G111" s="29" t="s">
        <v>68</v>
      </c>
      <c r="H111" s="30">
        <f>SUM(H72:H110)</f>
        <v>5</v>
      </c>
      <c r="I111" s="47" t="str">
        <f>CONCATENATE("out of ",Priorities!C7," possible.")</f>
        <v>out of 77 possible.</v>
      </c>
    </row>
    <row r="112" spans="1:9" s="1" customFormat="1" x14ac:dyDescent="0.25">
      <c r="A112" s="24"/>
      <c r="B112" s="24"/>
      <c r="C112" s="24"/>
      <c r="D112" s="25"/>
      <c r="E112" s="26"/>
      <c r="F112" s="27"/>
      <c r="G112" s="29" t="s">
        <v>28</v>
      </c>
      <c r="H112" s="31">
        <f>Priorities!D7</f>
        <v>1</v>
      </c>
      <c r="I112" s="55"/>
    </row>
    <row r="113" spans="1:9" s="1" customFormat="1" x14ac:dyDescent="0.25">
      <c r="A113" s="24"/>
      <c r="B113" s="24"/>
      <c r="C113" s="24"/>
      <c r="D113" s="25"/>
      <c r="E113" s="26"/>
      <c r="F113" s="27"/>
      <c r="G113" s="29" t="s">
        <v>29</v>
      </c>
      <c r="H113" s="31">
        <f>H112*H111</f>
        <v>5</v>
      </c>
      <c r="I113" s="47" t="str">
        <f>CONCATENATE("out of ",Priorities!E7," possible.")</f>
        <v>out of 77 possible.</v>
      </c>
    </row>
    <row r="114" spans="1:9" s="1" customFormat="1" x14ac:dyDescent="0.25">
      <c r="A114" s="24"/>
      <c r="B114" s="24"/>
      <c r="C114" s="24"/>
      <c r="D114" s="25"/>
      <c r="E114" s="26"/>
      <c r="F114" s="27"/>
      <c r="G114" s="29" t="s">
        <v>30</v>
      </c>
      <c r="H114" s="31" t="e">
        <f>Parameters!D$30</f>
        <v>#DIV/0!</v>
      </c>
      <c r="I114" s="55"/>
    </row>
    <row r="115" spans="1:9" s="1" customFormat="1" x14ac:dyDescent="0.25">
      <c r="A115" s="24"/>
      <c r="B115" s="24"/>
      <c r="C115" s="24"/>
      <c r="D115" s="25"/>
      <c r="E115" s="26"/>
      <c r="F115" s="27"/>
      <c r="G115" s="32" t="s">
        <v>69</v>
      </c>
      <c r="H115" s="33" t="e">
        <f>+H111*H114*H112</f>
        <v>#DIV/0!</v>
      </c>
      <c r="I115" s="47" t="e">
        <f>CONCATENATE("out of ",TEXT(Priorities!$E$7*H114,"##.##")," possible.")</f>
        <v>#DIV/0!</v>
      </c>
    </row>
    <row r="116" spans="1:9" s="1" customFormat="1" x14ac:dyDescent="0.25">
      <c r="A116" s="24"/>
      <c r="B116" s="24"/>
      <c r="C116" s="24"/>
      <c r="D116" s="25"/>
      <c r="E116" s="26"/>
      <c r="F116" s="27"/>
      <c r="G116" s="24"/>
      <c r="H116" s="24"/>
      <c r="I116" s="55"/>
    </row>
    <row r="117" spans="1:9" ht="15" customHeight="1" x14ac:dyDescent="0.25">
      <c r="B117" s="85" t="s">
        <v>70</v>
      </c>
      <c r="C117" s="86" t="s">
        <v>33</v>
      </c>
      <c r="D117" s="252" t="s">
        <v>315</v>
      </c>
      <c r="E117" s="252"/>
      <c r="F117" s="252"/>
      <c r="G117" s="252"/>
      <c r="H117" s="253"/>
      <c r="I117" s="51"/>
    </row>
    <row r="118" spans="1:9" x14ac:dyDescent="0.25">
      <c r="B118" s="116"/>
      <c r="C118" s="81"/>
      <c r="D118" s="82" t="s">
        <v>34</v>
      </c>
      <c r="E118" s="83"/>
      <c r="F118" s="84">
        <v>14</v>
      </c>
      <c r="G118" s="84" t="str">
        <f>IF('My Project'!E86&gt;50,"Yes","No")</f>
        <v>No</v>
      </c>
      <c r="H118" s="117">
        <f>IF(G118="Yes",F118,0)</f>
        <v>0</v>
      </c>
      <c r="I118" s="51"/>
    </row>
    <row r="119" spans="1:9" x14ac:dyDescent="0.25">
      <c r="B119" s="90"/>
      <c r="C119" s="36"/>
      <c r="D119" s="37" t="s">
        <v>35</v>
      </c>
      <c r="E119" s="38"/>
      <c r="F119" s="39">
        <v>12</v>
      </c>
      <c r="G119" s="84" t="str">
        <f>IF(AND('My Project'!$E$86&gt;40,'My Project'!$E$86&lt;=50),"Yes","No")</f>
        <v>No</v>
      </c>
      <c r="H119" s="91">
        <f t="shared" ref="H119:H133" si="7">IF(G119="Yes",F119,0)</f>
        <v>0</v>
      </c>
      <c r="I119" s="51"/>
    </row>
    <row r="120" spans="1:9" x14ac:dyDescent="0.25">
      <c r="B120" s="90"/>
      <c r="C120" s="36"/>
      <c r="D120" s="37" t="s">
        <v>36</v>
      </c>
      <c r="E120" s="38"/>
      <c r="F120" s="39">
        <v>9</v>
      </c>
      <c r="G120" s="84" t="str">
        <f>IF(AND('My Project'!$E$86&gt;35,'My Project'!$E$86&lt;=40),"Yes","No")</f>
        <v>No</v>
      </c>
      <c r="H120" s="91">
        <f t="shared" si="7"/>
        <v>0</v>
      </c>
      <c r="I120" s="51"/>
    </row>
    <row r="121" spans="1:9" x14ac:dyDescent="0.25">
      <c r="B121" s="90"/>
      <c r="C121" s="36"/>
      <c r="D121" s="37" t="s">
        <v>37</v>
      </c>
      <c r="E121" s="38"/>
      <c r="F121" s="39">
        <v>7</v>
      </c>
      <c r="G121" s="84" t="str">
        <f>IF(AND('My Project'!$E$86&gt;30,'My Project'!$E$86&lt;=35),"Yes","No")</f>
        <v>No</v>
      </c>
      <c r="H121" s="91">
        <f t="shared" si="7"/>
        <v>0</v>
      </c>
      <c r="I121" s="51"/>
    </row>
    <row r="122" spans="1:9" x14ac:dyDescent="0.25">
      <c r="B122" s="90"/>
      <c r="C122" s="36"/>
      <c r="D122" s="37" t="s">
        <v>38</v>
      </c>
      <c r="E122" s="38"/>
      <c r="F122" s="39">
        <v>5</v>
      </c>
      <c r="G122" s="84" t="str">
        <f>IF(AND('My Project'!$E$86&gt;25,'My Project'!$E$86&lt;=30),"Yes","No")</f>
        <v>No</v>
      </c>
      <c r="H122" s="91">
        <f t="shared" si="7"/>
        <v>0</v>
      </c>
      <c r="I122" s="51"/>
    </row>
    <row r="123" spans="1:9" x14ac:dyDescent="0.25">
      <c r="B123" s="90"/>
      <c r="C123" s="36"/>
      <c r="D123" s="37" t="s">
        <v>39</v>
      </c>
      <c r="E123" s="38"/>
      <c r="F123" s="39">
        <v>2</v>
      </c>
      <c r="G123" s="84" t="str">
        <f>IF(AND('My Project'!$E$86&gt;=20,'My Project'!$E$86&lt;=25),"Yes","No")</f>
        <v>No</v>
      </c>
      <c r="H123" s="91">
        <f t="shared" si="7"/>
        <v>0</v>
      </c>
      <c r="I123" s="51"/>
    </row>
    <row r="124" spans="1:9" x14ac:dyDescent="0.25">
      <c r="B124" s="92"/>
      <c r="C124" s="40"/>
      <c r="D124" s="100" t="s">
        <v>40</v>
      </c>
      <c r="E124" s="101"/>
      <c r="F124" s="43">
        <v>0</v>
      </c>
      <c r="G124" s="84" t="str">
        <f>IF('My Project'!$E$86&lt;20,"Yes","No")</f>
        <v>Yes</v>
      </c>
      <c r="H124" s="93">
        <f t="shared" si="7"/>
        <v>0</v>
      </c>
      <c r="I124" s="51"/>
    </row>
    <row r="125" spans="1:9" x14ac:dyDescent="0.25">
      <c r="B125" s="85" t="s">
        <v>70</v>
      </c>
      <c r="C125" s="86" t="s">
        <v>41</v>
      </c>
      <c r="D125" s="252" t="s">
        <v>315</v>
      </c>
      <c r="E125" s="252"/>
      <c r="F125" s="252"/>
      <c r="G125" s="252"/>
      <c r="H125" s="253"/>
      <c r="I125" s="51"/>
    </row>
    <row r="126" spans="1:9" x14ac:dyDescent="0.25">
      <c r="B126" s="116"/>
      <c r="C126" s="81"/>
      <c r="D126" s="82" t="s">
        <v>71</v>
      </c>
      <c r="E126" s="83"/>
      <c r="F126" s="84">
        <v>14</v>
      </c>
      <c r="G126" s="84" t="str">
        <f>IF('My Project'!$E$96&gt;=681,"Yes","No")</f>
        <v>No</v>
      </c>
      <c r="H126" s="117">
        <f t="shared" ref="H126" si="8">IF(G126="Yes",F126,0)</f>
        <v>0</v>
      </c>
      <c r="I126" s="51"/>
    </row>
    <row r="127" spans="1:9" x14ac:dyDescent="0.25">
      <c r="B127" s="90"/>
      <c r="C127" s="36"/>
      <c r="D127" s="37" t="s">
        <v>72</v>
      </c>
      <c r="E127" s="38"/>
      <c r="F127" s="39">
        <v>12</v>
      </c>
      <c r="G127" s="84" t="str">
        <f>IF(AND('My Project'!$E$96&gt;600,'My Project'!$E$96&lt;=680),"Yes","No")</f>
        <v>No</v>
      </c>
      <c r="H127" s="91">
        <f t="shared" si="7"/>
        <v>0</v>
      </c>
      <c r="I127" s="51"/>
    </row>
    <row r="128" spans="1:9" x14ac:dyDescent="0.25">
      <c r="B128" s="90"/>
      <c r="C128" s="36"/>
      <c r="D128" s="37" t="s">
        <v>43</v>
      </c>
      <c r="E128" s="38"/>
      <c r="F128" s="39">
        <v>9</v>
      </c>
      <c r="G128" s="84" t="str">
        <f>IF(AND('My Project'!$E$96&gt;525,'My Project'!$E$96&lt;=600),"Yes","No")</f>
        <v>No</v>
      </c>
      <c r="H128" s="91">
        <f t="shared" si="7"/>
        <v>0</v>
      </c>
      <c r="I128" s="51"/>
    </row>
    <row r="129" spans="2:13" x14ac:dyDescent="0.25">
      <c r="B129" s="90"/>
      <c r="C129" s="36"/>
      <c r="D129" s="37" t="s">
        <v>44</v>
      </c>
      <c r="E129" s="38"/>
      <c r="F129" s="39">
        <v>7</v>
      </c>
      <c r="G129" s="84" t="str">
        <f>IF(AND('My Project'!$E$96&gt;475,'My Project'!$E$96&lt;=525),"Yes","No")</f>
        <v>No</v>
      </c>
      <c r="H129" s="91">
        <f t="shared" si="7"/>
        <v>0</v>
      </c>
      <c r="I129" s="51"/>
    </row>
    <row r="130" spans="2:13" x14ac:dyDescent="0.25">
      <c r="B130" s="90"/>
      <c r="C130" s="36"/>
      <c r="D130" s="37" t="s">
        <v>45</v>
      </c>
      <c r="E130" s="38"/>
      <c r="F130" s="39">
        <v>5</v>
      </c>
      <c r="G130" s="84" t="str">
        <f>IF(AND('My Project'!$E$96&gt;450,'My Project'!$E$96&lt;=475),"Yes","No")</f>
        <v>No</v>
      </c>
      <c r="H130" s="91">
        <f t="shared" si="7"/>
        <v>0</v>
      </c>
      <c r="I130" s="51"/>
    </row>
    <row r="131" spans="2:13" x14ac:dyDescent="0.25">
      <c r="B131" s="90"/>
      <c r="C131" s="36"/>
      <c r="D131" s="37" t="s">
        <v>46</v>
      </c>
      <c r="E131" s="38"/>
      <c r="F131" s="39">
        <v>2</v>
      </c>
      <c r="G131" s="84" t="str">
        <f>IF(AND('My Project'!$E$96&gt;350,'My Project'!$E$96&lt;=450),"Yes","No")</f>
        <v>No</v>
      </c>
      <c r="H131" s="91">
        <f t="shared" si="7"/>
        <v>0</v>
      </c>
      <c r="I131" s="51"/>
    </row>
    <row r="132" spans="2:13" x14ac:dyDescent="0.25">
      <c r="B132" s="90"/>
      <c r="C132" s="36"/>
      <c r="D132" s="37" t="s">
        <v>47</v>
      </c>
      <c r="E132" s="38"/>
      <c r="F132" s="39">
        <v>0</v>
      </c>
      <c r="G132" s="84" t="str">
        <f>IF(AND('My Project'!$E$96&gt;275,'My Project'!$E$96&lt;=350),"Yes","No")</f>
        <v>No</v>
      </c>
      <c r="H132" s="91">
        <f t="shared" si="7"/>
        <v>0</v>
      </c>
      <c r="I132" s="51"/>
    </row>
    <row r="133" spans="2:13" x14ac:dyDescent="0.25">
      <c r="B133" s="92"/>
      <c r="C133" s="40"/>
      <c r="D133" s="41" t="s">
        <v>73</v>
      </c>
      <c r="E133" s="42"/>
      <c r="F133" s="43">
        <v>-5</v>
      </c>
      <c r="G133" s="84" t="str">
        <f>IF('My Project'!$E$96&lt;=275,"Yes","No")</f>
        <v>Yes</v>
      </c>
      <c r="H133" s="93">
        <f t="shared" si="7"/>
        <v>-5</v>
      </c>
      <c r="I133" s="51"/>
    </row>
    <row r="134" spans="2:13" x14ac:dyDescent="0.25">
      <c r="B134" s="85" t="s">
        <v>70</v>
      </c>
      <c r="C134" s="86" t="s">
        <v>137</v>
      </c>
      <c r="D134" s="215" t="s">
        <v>177</v>
      </c>
      <c r="E134" s="87"/>
      <c r="F134" s="88"/>
      <c r="G134" s="88"/>
      <c r="H134" s="89"/>
      <c r="I134" s="51"/>
    </row>
    <row r="135" spans="2:13" ht="45" x14ac:dyDescent="0.25">
      <c r="B135" s="116"/>
      <c r="C135" s="81"/>
      <c r="D135" s="82" t="s">
        <v>138</v>
      </c>
      <c r="E135" s="83"/>
      <c r="F135" s="84">
        <v>16</v>
      </c>
      <c r="G135" s="84" t="str">
        <f>IF('Expected Cost'!H16='My Project'!$D$20,"Yes","No")</f>
        <v>Yes</v>
      </c>
      <c r="H135" s="117">
        <f>IF(G135="Yes",F135,0)</f>
        <v>16</v>
      </c>
      <c r="I135" s="51"/>
    </row>
    <row r="136" spans="2:13" ht="30" x14ac:dyDescent="0.25">
      <c r="B136" s="90"/>
      <c r="C136" s="36"/>
      <c r="D136" s="37" t="s">
        <v>141</v>
      </c>
      <c r="E136" s="38"/>
      <c r="F136" s="39">
        <v>12</v>
      </c>
      <c r="G136" s="39" t="str">
        <f>IF('Expected Cost'!H17='My Project'!$D$20,"Yes","No")</f>
        <v>No</v>
      </c>
      <c r="H136" s="91">
        <f>IF(G136="Yes",F136,0)</f>
        <v>0</v>
      </c>
      <c r="I136" s="51"/>
    </row>
    <row r="137" spans="2:13" ht="30" x14ac:dyDescent="0.25">
      <c r="B137" s="90"/>
      <c r="C137" s="36"/>
      <c r="D137" s="37" t="s">
        <v>142</v>
      </c>
      <c r="E137" s="38"/>
      <c r="F137" s="39">
        <v>5</v>
      </c>
      <c r="G137" s="39" t="str">
        <f>IF('Expected Cost'!H18='My Project'!$D$20,"Yes","No")</f>
        <v>No</v>
      </c>
      <c r="H137" s="91">
        <f>IF(G137="Yes",F137,0)</f>
        <v>0</v>
      </c>
      <c r="I137" s="51"/>
      <c r="K137" s="18"/>
      <c r="L137" s="184"/>
      <c r="M137" s="185"/>
    </row>
    <row r="138" spans="2:13" x14ac:dyDescent="0.25">
      <c r="B138" s="92"/>
      <c r="C138" s="40"/>
      <c r="D138" s="41" t="s">
        <v>140</v>
      </c>
      <c r="E138" s="42"/>
      <c r="F138" s="43">
        <v>0</v>
      </c>
      <c r="G138" s="43" t="str">
        <f>IF('Expected Cost'!H19='My Project'!$D$20,"Yes","No")</f>
        <v>No</v>
      </c>
      <c r="H138" s="93">
        <f>IF(G138="Yes",F138,0)</f>
        <v>0</v>
      </c>
      <c r="I138" s="51"/>
      <c r="K138" s="178"/>
      <c r="M138" s="183"/>
    </row>
    <row r="139" spans="2:13" ht="30" x14ac:dyDescent="0.25">
      <c r="B139" s="85" t="s">
        <v>70</v>
      </c>
      <c r="C139" s="86" t="s">
        <v>48</v>
      </c>
      <c r="D139" s="215" t="s">
        <v>261</v>
      </c>
      <c r="E139" s="102" t="s">
        <v>49</v>
      </c>
      <c r="F139" s="103"/>
      <c r="G139" s="102" t="s">
        <v>50</v>
      </c>
      <c r="H139" s="89"/>
      <c r="I139" s="51"/>
      <c r="K139" s="178"/>
    </row>
    <row r="140" spans="2:13" x14ac:dyDescent="0.25">
      <c r="B140" s="116"/>
      <c r="C140" s="81"/>
      <c r="D140" s="82" t="s">
        <v>51</v>
      </c>
      <c r="E140" s="106">
        <v>0</v>
      </c>
      <c r="F140" s="84">
        <v>12</v>
      </c>
      <c r="G140" s="107">
        <f>IF(E140&gt;0,E140/SUM(E$140:E$146),0)</f>
        <v>0</v>
      </c>
      <c r="H140" s="173">
        <f>G140*F140</f>
        <v>0</v>
      </c>
      <c r="I140" s="51"/>
      <c r="K140" s="178"/>
      <c r="M140" s="183"/>
    </row>
    <row r="141" spans="2:13" x14ac:dyDescent="0.25">
      <c r="B141" s="90"/>
      <c r="C141" s="36"/>
      <c r="D141" s="37" t="s">
        <v>52</v>
      </c>
      <c r="E141" s="44">
        <v>0</v>
      </c>
      <c r="F141" s="39">
        <v>12</v>
      </c>
      <c r="G141" s="45">
        <f t="shared" ref="G141:G146" si="9">IF(E141&gt;0,E141/SUM(E$140:E$146),0)</f>
        <v>0</v>
      </c>
      <c r="H141" s="174">
        <f t="shared" ref="H141:H146" si="10">G141*F141</f>
        <v>0</v>
      </c>
      <c r="I141" s="51"/>
      <c r="K141" s="178"/>
      <c r="M141" s="183"/>
    </row>
    <row r="142" spans="2:13" x14ac:dyDescent="0.25">
      <c r="B142" s="90"/>
      <c r="C142" s="36"/>
      <c r="D142" s="37" t="s">
        <v>53</v>
      </c>
      <c r="E142" s="44">
        <v>0</v>
      </c>
      <c r="F142" s="39">
        <v>12</v>
      </c>
      <c r="G142" s="45">
        <f t="shared" si="9"/>
        <v>0</v>
      </c>
      <c r="H142" s="174">
        <f t="shared" si="10"/>
        <v>0</v>
      </c>
      <c r="I142" s="51"/>
      <c r="K142" s="178"/>
      <c r="M142" s="183"/>
    </row>
    <row r="143" spans="2:13" x14ac:dyDescent="0.25">
      <c r="B143" s="90"/>
      <c r="C143" s="36"/>
      <c r="D143" s="37" t="s">
        <v>54</v>
      </c>
      <c r="E143" s="44">
        <v>0</v>
      </c>
      <c r="F143" s="39">
        <v>9</v>
      </c>
      <c r="G143" s="45">
        <f t="shared" si="9"/>
        <v>0</v>
      </c>
      <c r="H143" s="174">
        <f t="shared" si="10"/>
        <v>0</v>
      </c>
      <c r="I143" s="51"/>
      <c r="K143" s="178"/>
      <c r="L143" s="180"/>
      <c r="M143" s="183"/>
    </row>
    <row r="144" spans="2:13" x14ac:dyDescent="0.25">
      <c r="B144" s="90"/>
      <c r="C144" s="36"/>
      <c r="D144" s="37" t="s">
        <v>55</v>
      </c>
      <c r="E144" s="44">
        <v>0</v>
      </c>
      <c r="F144" s="39">
        <v>7</v>
      </c>
      <c r="G144" s="45">
        <f t="shared" si="9"/>
        <v>0</v>
      </c>
      <c r="H144" s="174">
        <f t="shared" si="10"/>
        <v>0</v>
      </c>
      <c r="I144" s="51"/>
      <c r="K144" s="178"/>
      <c r="M144" s="183"/>
    </row>
    <row r="145" spans="1:13" x14ac:dyDescent="0.25">
      <c r="B145" s="90"/>
      <c r="C145" s="36"/>
      <c r="D145" s="37" t="s">
        <v>56</v>
      </c>
      <c r="E145" s="44">
        <v>0</v>
      </c>
      <c r="F145" s="39">
        <v>5</v>
      </c>
      <c r="G145" s="45">
        <f t="shared" si="9"/>
        <v>0</v>
      </c>
      <c r="H145" s="174">
        <f t="shared" si="10"/>
        <v>0</v>
      </c>
      <c r="I145" s="51"/>
      <c r="K145" s="178"/>
      <c r="M145" s="183"/>
    </row>
    <row r="146" spans="1:13" x14ac:dyDescent="0.25">
      <c r="B146" s="92"/>
      <c r="C146" s="40"/>
      <c r="D146" s="41" t="s">
        <v>57</v>
      </c>
      <c r="E146" s="104">
        <v>0</v>
      </c>
      <c r="F146" s="43">
        <v>2</v>
      </c>
      <c r="G146" s="105">
        <f t="shared" si="9"/>
        <v>0</v>
      </c>
      <c r="H146" s="175">
        <f t="shared" si="10"/>
        <v>0</v>
      </c>
      <c r="I146" s="51"/>
      <c r="K146" s="178"/>
      <c r="L146" s="180"/>
      <c r="M146" s="183"/>
    </row>
    <row r="147" spans="1:13" x14ac:dyDescent="0.25">
      <c r="B147" s="85" t="s">
        <v>70</v>
      </c>
      <c r="C147" s="86" t="s">
        <v>58</v>
      </c>
      <c r="D147" s="118" t="s">
        <v>262</v>
      </c>
      <c r="E147" s="87"/>
      <c r="F147" s="88"/>
      <c r="G147" s="88"/>
      <c r="H147" s="89"/>
      <c r="I147" s="51"/>
      <c r="K147" s="178"/>
    </row>
    <row r="148" spans="1:13" x14ac:dyDescent="0.25">
      <c r="B148" s="116"/>
      <c r="C148" s="81"/>
      <c r="D148" s="82" t="s">
        <v>59</v>
      </c>
      <c r="E148" s="83"/>
      <c r="F148" s="84">
        <v>5</v>
      </c>
      <c r="G148" s="84"/>
      <c r="H148" s="117">
        <f t="shared" ref="H148" si="11">IF(G148="Yes",F148,0)</f>
        <v>0</v>
      </c>
      <c r="I148" s="51"/>
    </row>
    <row r="149" spans="1:13" x14ac:dyDescent="0.25">
      <c r="B149" s="90"/>
      <c r="C149" s="36"/>
      <c r="D149" s="37" t="s">
        <v>60</v>
      </c>
      <c r="E149" s="38"/>
      <c r="F149" s="39">
        <v>5</v>
      </c>
      <c r="G149" s="39"/>
      <c r="H149" s="91">
        <f t="shared" ref="H149:H151" si="12">IF(G149="Yes",F149,0)</f>
        <v>0</v>
      </c>
      <c r="I149" s="51"/>
    </row>
    <row r="150" spans="1:13" x14ac:dyDescent="0.25">
      <c r="B150" s="90"/>
      <c r="C150" s="36"/>
      <c r="D150" s="37" t="s">
        <v>61</v>
      </c>
      <c r="E150" s="38"/>
      <c r="F150" s="39">
        <v>2</v>
      </c>
      <c r="G150" s="39"/>
      <c r="H150" s="91">
        <f t="shared" si="12"/>
        <v>0</v>
      </c>
      <c r="I150" s="51"/>
    </row>
    <row r="151" spans="1:13" x14ac:dyDescent="0.25">
      <c r="B151" s="90"/>
      <c r="C151" s="36"/>
      <c r="D151" s="37" t="s">
        <v>62</v>
      </c>
      <c r="E151" s="38"/>
      <c r="F151" s="39">
        <v>2</v>
      </c>
      <c r="G151" s="39"/>
      <c r="H151" s="91">
        <f t="shared" si="12"/>
        <v>0</v>
      </c>
      <c r="I151" s="51"/>
    </row>
    <row r="152" spans="1:13" x14ac:dyDescent="0.25">
      <c r="B152" s="85" t="s">
        <v>70</v>
      </c>
      <c r="C152" s="95" t="s">
        <v>255</v>
      </c>
      <c r="D152" s="118" t="s">
        <v>263</v>
      </c>
      <c r="E152" s="87"/>
      <c r="F152" s="88"/>
      <c r="G152" s="88"/>
      <c r="H152" s="89"/>
      <c r="I152" s="51"/>
    </row>
    <row r="153" spans="1:13" ht="45" x14ac:dyDescent="0.25">
      <c r="B153" s="92"/>
      <c r="C153" s="40"/>
      <c r="D153" s="41" t="s">
        <v>256</v>
      </c>
      <c r="E153" s="42"/>
      <c r="F153" s="43">
        <v>7</v>
      </c>
      <c r="G153" s="43" t="s">
        <v>67</v>
      </c>
      <c r="H153" s="93"/>
      <c r="I153" s="51"/>
    </row>
    <row r="154" spans="1:13" s="1" customFormat="1" x14ac:dyDescent="0.25">
      <c r="A154" s="24"/>
      <c r="B154" s="24"/>
      <c r="C154" s="24" t="s">
        <v>76</v>
      </c>
      <c r="D154" s="25"/>
      <c r="E154" s="26"/>
      <c r="F154" s="27"/>
      <c r="G154" s="29" t="s">
        <v>76</v>
      </c>
      <c r="H154" s="30">
        <f>SUM(H117:H153)</f>
        <v>11</v>
      </c>
      <c r="I154" s="47" t="str">
        <f>CONCATENATE("out of ",Priorities!$C$8," possible.")</f>
        <v>out of 77 possible.</v>
      </c>
    </row>
    <row r="155" spans="1:13" s="1" customFormat="1" x14ac:dyDescent="0.25">
      <c r="A155" s="24"/>
      <c r="B155" s="24"/>
      <c r="C155" s="24"/>
      <c r="D155" s="25"/>
      <c r="E155" s="26"/>
      <c r="F155" s="27"/>
      <c r="G155" s="29" t="s">
        <v>28</v>
      </c>
      <c r="H155" s="31">
        <f>Priorities!D8</f>
        <v>1</v>
      </c>
      <c r="I155" s="55"/>
    </row>
    <row r="156" spans="1:13" s="1" customFormat="1" x14ac:dyDescent="0.25">
      <c r="A156" s="24"/>
      <c r="B156" s="24"/>
      <c r="C156" s="24"/>
      <c r="D156" s="25"/>
      <c r="E156" s="26"/>
      <c r="F156" s="27"/>
      <c r="G156" s="29" t="s">
        <v>29</v>
      </c>
      <c r="H156" s="31">
        <f>H155*H154</f>
        <v>11</v>
      </c>
      <c r="I156" s="47" t="str">
        <f>CONCATENATE("out of ",Priorities!$E$8," possible.")</f>
        <v>out of 77 possible.</v>
      </c>
    </row>
    <row r="157" spans="1:13" s="1" customFormat="1" x14ac:dyDescent="0.25">
      <c r="A157" s="24"/>
      <c r="B157" s="24"/>
      <c r="C157" s="24"/>
      <c r="D157" s="25"/>
      <c r="E157" s="26"/>
      <c r="F157" s="27"/>
      <c r="G157" s="29" t="s">
        <v>30</v>
      </c>
      <c r="H157" s="31" t="e">
        <f>Parameters!D$31</f>
        <v>#DIV/0!</v>
      </c>
      <c r="I157" s="55"/>
    </row>
    <row r="158" spans="1:13" s="1" customFormat="1" x14ac:dyDescent="0.25">
      <c r="A158" s="24"/>
      <c r="B158" s="24"/>
      <c r="C158" s="24"/>
      <c r="D158" s="25"/>
      <c r="E158" s="26"/>
      <c r="F158" s="27"/>
      <c r="G158" s="32" t="s">
        <v>77</v>
      </c>
      <c r="H158" s="33" t="e">
        <f>H154*H157*H155</f>
        <v>#DIV/0!</v>
      </c>
      <c r="I158" s="47" t="e">
        <f>CONCATENATE("out of ",TEXT(Priorities!$E$8*Parameters!$D$31,"##.##")," possible.")</f>
        <v>#DIV/0!</v>
      </c>
    </row>
    <row r="159" spans="1:13" s="1" customFormat="1" x14ac:dyDescent="0.25">
      <c r="A159" s="24"/>
      <c r="B159" s="24"/>
      <c r="C159" s="24"/>
      <c r="D159" s="25"/>
      <c r="E159" s="26"/>
      <c r="F159" s="27"/>
      <c r="G159" s="24"/>
      <c r="H159" s="24"/>
      <c r="I159" s="55"/>
    </row>
    <row r="160" spans="1:13" x14ac:dyDescent="0.25">
      <c r="B160" s="85" t="s">
        <v>78</v>
      </c>
      <c r="C160" s="86"/>
      <c r="D160" s="214" t="s">
        <v>308</v>
      </c>
      <c r="E160" s="87"/>
      <c r="F160" s="88"/>
      <c r="G160" s="88"/>
      <c r="H160" s="89"/>
      <c r="I160" s="51"/>
    </row>
    <row r="161" spans="2:13" x14ac:dyDescent="0.25">
      <c r="B161" s="116"/>
      <c r="C161" s="254" t="s">
        <v>307</v>
      </c>
      <c r="D161" s="254"/>
      <c r="E161" s="254"/>
      <c r="F161" s="254"/>
      <c r="G161" s="254"/>
      <c r="H161" s="255"/>
      <c r="I161" s="51"/>
    </row>
    <row r="162" spans="2:13" ht="30" x14ac:dyDescent="0.25">
      <c r="B162" s="116"/>
      <c r="C162" s="81"/>
      <c r="D162" s="82" t="s">
        <v>311</v>
      </c>
      <c r="E162" s="83"/>
      <c r="F162" s="84">
        <v>18</v>
      </c>
      <c r="G162" s="84" t="e">
        <f>IF(OR('My Project'!$F$70&gt;17,'My Project'!$F$69&gt;23),"Yes","No")</f>
        <v>#DIV/0!</v>
      </c>
      <c r="H162" s="117" t="e">
        <f>IF(G162="Yes",F162,0)</f>
        <v>#DIV/0!</v>
      </c>
      <c r="I162" s="51"/>
    </row>
    <row r="163" spans="2:13" ht="45" x14ac:dyDescent="0.25">
      <c r="B163" s="90"/>
      <c r="C163" s="36"/>
      <c r="D163" s="37" t="s">
        <v>309</v>
      </c>
      <c r="E163" s="38"/>
      <c r="F163" s="39">
        <v>24</v>
      </c>
      <c r="G163" s="84" t="e">
        <f>IF(AND(AND('My Project'!$F$70&gt;=15,'My Project'!$F$70&lt;17),AND('My Project'!$F$69&gt;=21),'My Project'!$F$69&lt;23),"Yes","No")</f>
        <v>#DIV/0!</v>
      </c>
      <c r="H163" s="91" t="e">
        <f t="shared" ref="H163:H181" si="13">IF(G163="Yes",F163,0)</f>
        <v>#DIV/0!</v>
      </c>
      <c r="I163" s="51"/>
    </row>
    <row r="164" spans="2:13" ht="45" x14ac:dyDescent="0.25">
      <c r="B164" s="90"/>
      <c r="C164" s="36"/>
      <c r="D164" s="37" t="s">
        <v>310</v>
      </c>
      <c r="E164" s="38"/>
      <c r="F164" s="39">
        <v>12</v>
      </c>
      <c r="G164" s="84" t="e">
        <f>IF(AND(AND('My Project'!$F$70&gt;=12,'My Project'!$F$70&lt;15),AND('My Project'!$F$69&gt;=19),'My Project'!$F$69&lt;21),"Yes","No")</f>
        <v>#DIV/0!</v>
      </c>
      <c r="H164" s="91" t="e">
        <f t="shared" si="13"/>
        <v>#DIV/0!</v>
      </c>
      <c r="I164" s="51"/>
    </row>
    <row r="165" spans="2:13" ht="30" x14ac:dyDescent="0.25">
      <c r="B165" s="90"/>
      <c r="C165" s="36"/>
      <c r="D165" s="37" t="s">
        <v>312</v>
      </c>
      <c r="E165" s="38"/>
      <c r="F165" s="39">
        <v>0</v>
      </c>
      <c r="G165" s="84" t="e">
        <f>IF(OR('My Project'!$F$70&lt;12,'My Project'!$F$69&lt;19),"Yes","No")</f>
        <v>#DIV/0!</v>
      </c>
      <c r="H165" s="91" t="e">
        <f t="shared" si="13"/>
        <v>#DIV/0!</v>
      </c>
      <c r="I165" s="51"/>
    </row>
    <row r="166" spans="2:13" ht="30" x14ac:dyDescent="0.25">
      <c r="B166" s="85" t="s">
        <v>78</v>
      </c>
      <c r="C166" s="86" t="s">
        <v>48</v>
      </c>
      <c r="D166" s="214" t="s">
        <v>261</v>
      </c>
      <c r="E166" s="102" t="s">
        <v>49</v>
      </c>
      <c r="F166" s="103"/>
      <c r="G166" s="102" t="s">
        <v>50</v>
      </c>
      <c r="H166" s="89"/>
      <c r="I166" s="51"/>
      <c r="K166" s="178"/>
    </row>
    <row r="167" spans="2:13" x14ac:dyDescent="0.25">
      <c r="B167" s="116"/>
      <c r="C167" s="81"/>
      <c r="D167" s="82" t="s">
        <v>51</v>
      </c>
      <c r="E167" s="106">
        <v>0</v>
      </c>
      <c r="F167" s="84">
        <v>12</v>
      </c>
      <c r="G167" s="107">
        <f>IF(E167&gt;0,E167/SUM(E$167:E$173),0)</f>
        <v>0</v>
      </c>
      <c r="H167" s="173">
        <f>G167*F167</f>
        <v>0</v>
      </c>
      <c r="I167" s="51"/>
      <c r="K167" s="178"/>
      <c r="M167" s="183"/>
    </row>
    <row r="168" spans="2:13" x14ac:dyDescent="0.25">
      <c r="B168" s="90"/>
      <c r="C168" s="36"/>
      <c r="D168" s="37" t="s">
        <v>52</v>
      </c>
      <c r="E168" s="44">
        <v>0</v>
      </c>
      <c r="F168" s="39">
        <v>12</v>
      </c>
      <c r="G168" s="45">
        <f t="shared" ref="G168:G173" si="14">IF(E168&gt;0,E168/SUM(E$167:E$173),0)</f>
        <v>0</v>
      </c>
      <c r="H168" s="174">
        <f t="shared" ref="H168:H173" si="15">G168*F168</f>
        <v>0</v>
      </c>
      <c r="I168" s="51"/>
      <c r="K168" s="178"/>
      <c r="M168" s="183"/>
    </row>
    <row r="169" spans="2:13" x14ac:dyDescent="0.25">
      <c r="B169" s="90"/>
      <c r="C169" s="36"/>
      <c r="D169" s="37" t="s">
        <v>53</v>
      </c>
      <c r="E169" s="44">
        <v>0</v>
      </c>
      <c r="F169" s="39">
        <v>12</v>
      </c>
      <c r="G169" s="45">
        <f t="shared" si="14"/>
        <v>0</v>
      </c>
      <c r="H169" s="174">
        <f t="shared" si="15"/>
        <v>0</v>
      </c>
      <c r="I169" s="51"/>
      <c r="K169" s="178"/>
      <c r="M169" s="183"/>
    </row>
    <row r="170" spans="2:13" x14ac:dyDescent="0.25">
      <c r="B170" s="90"/>
      <c r="C170" s="36"/>
      <c r="D170" s="37" t="s">
        <v>54</v>
      </c>
      <c r="E170" s="44">
        <v>0</v>
      </c>
      <c r="F170" s="39">
        <v>9</v>
      </c>
      <c r="G170" s="45">
        <f t="shared" si="14"/>
        <v>0</v>
      </c>
      <c r="H170" s="174">
        <f t="shared" si="15"/>
        <v>0</v>
      </c>
      <c r="I170" s="51"/>
      <c r="K170" s="178"/>
      <c r="L170" s="180"/>
      <c r="M170" s="183"/>
    </row>
    <row r="171" spans="2:13" x14ac:dyDescent="0.25">
      <c r="B171" s="90"/>
      <c r="C171" s="36"/>
      <c r="D171" s="37" t="s">
        <v>55</v>
      </c>
      <c r="E171" s="44">
        <v>0</v>
      </c>
      <c r="F171" s="39">
        <v>7</v>
      </c>
      <c r="G171" s="45">
        <f t="shared" si="14"/>
        <v>0</v>
      </c>
      <c r="H171" s="174">
        <f t="shared" si="15"/>
        <v>0</v>
      </c>
      <c r="I171" s="51"/>
      <c r="K171" s="178"/>
      <c r="M171" s="183"/>
    </row>
    <row r="172" spans="2:13" x14ac:dyDescent="0.25">
      <c r="B172" s="90"/>
      <c r="C172" s="36"/>
      <c r="D172" s="37" t="s">
        <v>56</v>
      </c>
      <c r="E172" s="44">
        <v>0</v>
      </c>
      <c r="F172" s="39">
        <v>5</v>
      </c>
      <c r="G172" s="45">
        <f t="shared" si="14"/>
        <v>0</v>
      </c>
      <c r="H172" s="174">
        <f t="shared" si="15"/>
        <v>0</v>
      </c>
      <c r="I172" s="51"/>
      <c r="K172" s="178"/>
      <c r="M172" s="183"/>
    </row>
    <row r="173" spans="2:13" x14ac:dyDescent="0.25">
      <c r="B173" s="92"/>
      <c r="C173" s="40"/>
      <c r="D173" s="41" t="s">
        <v>57</v>
      </c>
      <c r="E173" s="104">
        <v>0</v>
      </c>
      <c r="F173" s="43">
        <v>2</v>
      </c>
      <c r="G173" s="105">
        <f t="shared" si="14"/>
        <v>0</v>
      </c>
      <c r="H173" s="175">
        <f t="shared" si="15"/>
        <v>0</v>
      </c>
      <c r="I173" s="51"/>
      <c r="K173" s="178"/>
      <c r="L173" s="180"/>
      <c r="M173" s="183"/>
    </row>
    <row r="174" spans="2:13" x14ac:dyDescent="0.25">
      <c r="B174" s="116"/>
      <c r="C174" s="81"/>
      <c r="D174" s="82"/>
      <c r="E174" s="83"/>
      <c r="F174" s="84"/>
      <c r="G174" s="84"/>
      <c r="H174" s="117"/>
      <c r="I174" s="51"/>
    </row>
    <row r="175" spans="2:13" x14ac:dyDescent="0.25">
      <c r="B175" s="85" t="s">
        <v>78</v>
      </c>
      <c r="C175" s="86" t="s">
        <v>74</v>
      </c>
      <c r="D175" s="118" t="s">
        <v>264</v>
      </c>
      <c r="E175" s="87"/>
      <c r="F175" s="88"/>
      <c r="G175" s="88"/>
      <c r="H175" s="89"/>
      <c r="I175" s="51"/>
    </row>
    <row r="176" spans="2:13" ht="30" x14ac:dyDescent="0.25">
      <c r="B176" s="116"/>
      <c r="C176" s="81"/>
      <c r="D176" s="82" t="s">
        <v>75</v>
      </c>
      <c r="E176" s="83"/>
      <c r="F176" s="84">
        <v>10</v>
      </c>
      <c r="G176" s="84" t="s">
        <v>67</v>
      </c>
      <c r="H176" s="117"/>
      <c r="I176" s="51"/>
    </row>
    <row r="177" spans="1:9" ht="30" x14ac:dyDescent="0.25">
      <c r="B177" s="90"/>
      <c r="C177" s="36"/>
      <c r="D177" s="37" t="s">
        <v>79</v>
      </c>
      <c r="E177" s="38"/>
      <c r="F177" s="39">
        <v>5</v>
      </c>
      <c r="G177" s="39" t="s">
        <v>67</v>
      </c>
      <c r="H177" s="91"/>
      <c r="I177" s="51"/>
    </row>
    <row r="178" spans="1:9" x14ac:dyDescent="0.25">
      <c r="B178" s="90"/>
      <c r="C178" s="36"/>
      <c r="D178" s="37" t="s">
        <v>80</v>
      </c>
      <c r="E178" s="38"/>
      <c r="F178" s="39">
        <v>2</v>
      </c>
      <c r="G178" s="39"/>
      <c r="H178" s="91">
        <f t="shared" si="13"/>
        <v>0</v>
      </c>
      <c r="I178" s="51"/>
    </row>
    <row r="179" spans="1:9" x14ac:dyDescent="0.25">
      <c r="B179" s="90"/>
      <c r="C179" s="36"/>
      <c r="D179" s="37" t="s">
        <v>81</v>
      </c>
      <c r="E179" s="38"/>
      <c r="F179" s="39">
        <v>2</v>
      </c>
      <c r="G179" s="39"/>
      <c r="H179" s="91">
        <f t="shared" si="13"/>
        <v>0</v>
      </c>
      <c r="I179" s="51"/>
    </row>
    <row r="180" spans="1:9" x14ac:dyDescent="0.25">
      <c r="B180" s="90"/>
      <c r="C180" s="36"/>
      <c r="D180" s="37" t="s">
        <v>82</v>
      </c>
      <c r="E180" s="38"/>
      <c r="F180" s="39">
        <v>3</v>
      </c>
      <c r="G180" s="39"/>
      <c r="H180" s="91">
        <f t="shared" si="13"/>
        <v>0</v>
      </c>
      <c r="I180" s="51"/>
    </row>
    <row r="181" spans="1:9" x14ac:dyDescent="0.25">
      <c r="B181" s="92"/>
      <c r="C181" s="40"/>
      <c r="D181" s="41" t="s">
        <v>83</v>
      </c>
      <c r="E181" s="42"/>
      <c r="F181" s="43">
        <v>2</v>
      </c>
      <c r="G181" s="43"/>
      <c r="H181" s="93">
        <f t="shared" si="13"/>
        <v>0</v>
      </c>
      <c r="I181" s="51"/>
    </row>
    <row r="182" spans="1:9" s="6" customFormat="1" x14ac:dyDescent="0.25">
      <c r="B182" s="85" t="s">
        <v>78</v>
      </c>
      <c r="C182" s="86" t="s">
        <v>137</v>
      </c>
      <c r="D182" s="118" t="s">
        <v>313</v>
      </c>
      <c r="E182" s="108"/>
      <c r="F182" s="88"/>
      <c r="G182" s="88"/>
      <c r="H182" s="89"/>
      <c r="I182" s="51"/>
    </row>
    <row r="183" spans="1:9" s="6" customFormat="1" ht="45" x14ac:dyDescent="0.25">
      <c r="B183" s="90"/>
      <c r="C183" s="36"/>
      <c r="D183" s="37" t="s">
        <v>138</v>
      </c>
      <c r="E183" s="38"/>
      <c r="F183" s="39">
        <v>17</v>
      </c>
      <c r="G183" s="39" t="str">
        <f>IF('Expected Cost'!H16='My Project'!$D$20,"Yes","No")</f>
        <v>Yes</v>
      </c>
      <c r="H183" s="91">
        <f>IF(G183="Yes",F183,0)</f>
        <v>17</v>
      </c>
      <c r="I183" s="51"/>
    </row>
    <row r="184" spans="1:9" s="6" customFormat="1" ht="30" x14ac:dyDescent="0.25">
      <c r="B184" s="90"/>
      <c r="C184" s="36"/>
      <c r="D184" s="37" t="s">
        <v>141</v>
      </c>
      <c r="E184" s="38"/>
      <c r="F184" s="39">
        <v>12</v>
      </c>
      <c r="G184" s="39" t="str">
        <f>IF('Expected Cost'!H17='My Project'!$D$20,"Yes","No")</f>
        <v>No</v>
      </c>
      <c r="H184" s="91">
        <f>IF(G184="Yes",F184,0)</f>
        <v>0</v>
      </c>
      <c r="I184" s="51"/>
    </row>
    <row r="185" spans="1:9" s="6" customFormat="1" ht="30" x14ac:dyDescent="0.25">
      <c r="B185" s="90"/>
      <c r="C185" s="36"/>
      <c r="D185" s="37" t="s">
        <v>142</v>
      </c>
      <c r="E185" s="38"/>
      <c r="F185" s="39">
        <v>5</v>
      </c>
      <c r="G185" s="39" t="str">
        <f>IF('Expected Cost'!H18='My Project'!$D$20,"Yes","No")</f>
        <v>No</v>
      </c>
      <c r="H185" s="91">
        <f>IF(G185="Yes",F185,0)</f>
        <v>0</v>
      </c>
      <c r="I185" s="51"/>
    </row>
    <row r="186" spans="1:9" s="6" customFormat="1" x14ac:dyDescent="0.25">
      <c r="B186" s="92"/>
      <c r="C186" s="40"/>
      <c r="D186" s="41" t="s">
        <v>140</v>
      </c>
      <c r="E186" s="42"/>
      <c r="F186" s="43">
        <v>0</v>
      </c>
      <c r="G186" s="43" t="str">
        <f>IF('Expected Cost'!H19='My Project'!$D$20,"Yes","No")</f>
        <v>No</v>
      </c>
      <c r="H186" s="93">
        <f>IF(G186="Yes",F186,0)</f>
        <v>0</v>
      </c>
      <c r="I186" s="51"/>
    </row>
    <row r="187" spans="1:9" s="1" customFormat="1" x14ac:dyDescent="0.25">
      <c r="A187" s="24"/>
      <c r="B187" s="24"/>
      <c r="C187" s="24" t="s">
        <v>84</v>
      </c>
      <c r="D187" s="25"/>
      <c r="E187" s="26"/>
      <c r="F187" s="27"/>
      <c r="G187" s="29" t="s">
        <v>84</v>
      </c>
      <c r="H187" s="30" t="e">
        <f>SUM(H160:H186)</f>
        <v>#DIV/0!</v>
      </c>
      <c r="I187" s="47" t="str">
        <f>CONCATENATE("out of ",Priorities!C9," possible.")</f>
        <v>out of 77 possible.</v>
      </c>
    </row>
    <row r="188" spans="1:9" x14ac:dyDescent="0.25">
      <c r="G188" s="29" t="s">
        <v>28</v>
      </c>
      <c r="H188" s="31">
        <f>Priorities!D9</f>
        <v>1</v>
      </c>
      <c r="I188" s="51"/>
    </row>
    <row r="189" spans="1:9" x14ac:dyDescent="0.25">
      <c r="G189" s="29" t="s">
        <v>29</v>
      </c>
      <c r="H189" s="31" t="e">
        <f>H188*H187</f>
        <v>#DIV/0!</v>
      </c>
      <c r="I189" s="47" t="str">
        <f>CONCATENATE("out of ",Priorities!$E$9," possible.")</f>
        <v>out of 77 possible.</v>
      </c>
    </row>
    <row r="190" spans="1:9" x14ac:dyDescent="0.25">
      <c r="G190" s="29" t="s">
        <v>30</v>
      </c>
      <c r="H190" s="31" t="e">
        <f>Parameters!D$32</f>
        <v>#DIV/0!</v>
      </c>
      <c r="I190" s="51"/>
    </row>
    <row r="191" spans="1:9" x14ac:dyDescent="0.25">
      <c r="G191" s="32" t="s">
        <v>85</v>
      </c>
      <c r="H191" s="33" t="e">
        <f>H187*H190*H188</f>
        <v>#DIV/0!</v>
      </c>
      <c r="I191" s="47" t="e">
        <f>CONCATENATE("out of ",TEXT(Priorities!$E$9*Parameters!D32,"##.##")," possible.")</f>
        <v>#DIV/0!</v>
      </c>
    </row>
    <row r="192" spans="1:9" x14ac:dyDescent="0.25">
      <c r="I192" s="51"/>
    </row>
    <row r="193" spans="4:11" x14ac:dyDescent="0.25">
      <c r="I193" s="51"/>
    </row>
    <row r="194" spans="4:11" x14ac:dyDescent="0.25">
      <c r="G194" s="29" t="s">
        <v>86</v>
      </c>
      <c r="H194" s="34" t="e">
        <f>H191+H158+H115+H70+H45</f>
        <v>#DIV/0!</v>
      </c>
      <c r="I194" s="47"/>
      <c r="K194" s="3"/>
    </row>
    <row r="195" spans="4:11" x14ac:dyDescent="0.25">
      <c r="G195" s="29" t="s">
        <v>87</v>
      </c>
      <c r="H195" s="35">
        <f>H15</f>
        <v>0</v>
      </c>
      <c r="I195" s="51"/>
    </row>
    <row r="196" spans="4:11" x14ac:dyDescent="0.25">
      <c r="G196" s="32" t="s">
        <v>88</v>
      </c>
      <c r="H196" s="33" t="e">
        <f>SUM(H194:H195)</f>
        <v>#DIV/0!</v>
      </c>
      <c r="I196" s="55"/>
    </row>
    <row r="197" spans="4:11" x14ac:dyDescent="0.25">
      <c r="I197" s="51"/>
    </row>
    <row r="198" spans="4:11" x14ac:dyDescent="0.25">
      <c r="I198" s="51"/>
    </row>
    <row r="199" spans="4:11" x14ac:dyDescent="0.25">
      <c r="I199" s="51"/>
    </row>
    <row r="200" spans="4:11" x14ac:dyDescent="0.25">
      <c r="D200" s="6"/>
      <c r="E200" s="6"/>
      <c r="F200" s="6"/>
      <c r="H200" s="6"/>
      <c r="I200" s="51"/>
    </row>
    <row r="201" spans="4:11" x14ac:dyDescent="0.25">
      <c r="I201" s="51"/>
    </row>
    <row r="202" spans="4:11" x14ac:dyDescent="0.25">
      <c r="I202" s="51"/>
    </row>
    <row r="203" spans="4:11" x14ac:dyDescent="0.25">
      <c r="I203" s="51"/>
    </row>
    <row r="1015" spans="4:8" x14ac:dyDescent="0.25">
      <c r="D1015" s="6"/>
      <c r="E1015" s="6"/>
      <c r="F1015" s="6"/>
      <c r="G1015" s="8" t="s">
        <v>9</v>
      </c>
      <c r="H1015" s="6"/>
    </row>
    <row r="1016" spans="4:8" x14ac:dyDescent="0.25">
      <c r="D1016" s="6"/>
      <c r="E1016" s="6"/>
      <c r="F1016" s="6"/>
      <c r="G1016" s="8" t="s">
        <v>16</v>
      </c>
      <c r="H1016" s="6"/>
    </row>
  </sheetData>
  <mergeCells count="5">
    <mergeCell ref="D72:H72"/>
    <mergeCell ref="D117:H117"/>
    <mergeCell ref="C161:H161"/>
    <mergeCell ref="D80:H80"/>
    <mergeCell ref="D125:H125"/>
  </mergeCells>
  <dataValidations count="2">
    <dataValidation type="list" allowBlank="1" showInputMessage="1" showErrorMessage="1" promptTitle="Please answer &quot;Yes&quot; or &quot;No.&quot;" sqref="G7:G10 G17:G39 G147:G152 G88 G160 G101:G109 G47:G65 G73:G79 G178:G182">
      <formula1>$G$1015:$G$1016</formula1>
    </dataValidation>
    <dataValidation allowBlank="1" showInputMessage="1" showErrorMessage="1" promptTitle="Please answer &quot;Yes&quot; or &quot;No.&quot;" sqref="G40 G110 G153 G3:G4 G16 G162:G165 G175:G177 G6 G89:G92 G118:G124 G126:G138 G183:G186 G28:G30"/>
  </dataValidations>
  <pageMargins left="0.7" right="0.7" top="0.75" bottom="0.75" header="0.3" footer="0.3"/>
  <pageSetup scale="64" fitToHeight="0" orientation="portrait" r:id="rId1"/>
  <headerFooter>
    <oddHeader>&amp;A</oddHeader>
    <oddFooter>Page &amp;P of &amp;N</oddFooter>
  </headerFooter>
  <rowBreaks count="5" manualBreakCount="5">
    <brk id="16" min="1" max="8" man="1"/>
    <brk id="46" min="1" max="8" man="1"/>
    <brk id="71" min="1" max="8" man="1"/>
    <brk id="116" min="1" max="8" man="1"/>
    <brk id="159" min="1" max="8" man="1"/>
  </rowBreaks>
  <extLst>
    <ext xmlns:x14="http://schemas.microsoft.com/office/spreadsheetml/2009/9/main" uri="{78C0D931-6437-407d-A8EE-F0AAD7539E65}">
      <x14:conditionalFormattings>
        <x14:conditionalFormatting xmlns:xm="http://schemas.microsoft.com/office/excel/2006/main">
          <x14:cfRule type="expression" priority="21" id="{093784C3-B69C-4666-9884-745D85DB36E9}">
            <xm:f>'My Project'!$E$38&gt;0</xm:f>
            <x14:dxf>
              <fill>
                <patternFill>
                  <bgColor theme="6" tint="0.39994506668294322"/>
                </patternFill>
              </fill>
            </x14:dxf>
          </x14:cfRule>
          <xm:sqref>G18:G21 G23:G26 G32:G34 G36:G38 H40</xm:sqref>
        </x14:conditionalFormatting>
        <x14:conditionalFormatting xmlns:xm="http://schemas.microsoft.com/office/excel/2006/main">
          <x14:cfRule type="expression" priority="20" id="{FF7632FD-26F3-469F-B3E8-3B1EEF3EBBCA}">
            <xm:f>'My Project'!$E$44&gt;0</xm:f>
            <x14:dxf>
              <fill>
                <patternFill>
                  <bgColor theme="6" tint="0.39994506668294322"/>
                </patternFill>
              </fill>
            </x14:dxf>
          </x14:cfRule>
          <xm:sqref>E94:E100 G102:G105 G107:G109 G73:G79 G81:G87</xm:sqref>
        </x14:conditionalFormatting>
        <x14:conditionalFormatting xmlns:xm="http://schemas.microsoft.com/office/excel/2006/main">
          <x14:cfRule type="expression" priority="19" id="{7D57400D-5789-4A34-9CCA-173C3BA6CC0F}">
            <xm:f>'My Project'!$E$45&gt;0</xm:f>
            <x14:dxf>
              <fill>
                <patternFill>
                  <bgColor theme="6" tint="0.39994506668294322"/>
                </patternFill>
              </fill>
            </x14:dxf>
          </x14:cfRule>
          <xm:sqref>E140:E146 G148:G151 H153</xm:sqref>
        </x14:conditionalFormatting>
        <x14:conditionalFormatting xmlns:xm="http://schemas.microsoft.com/office/excel/2006/main">
          <x14:cfRule type="expression" priority="18" id="{CED96525-AA22-4B5C-A70C-5C41CF35FD7B}">
            <xm:f>'My Project'!$E$46&gt;0</xm:f>
            <x14:dxf>
              <fill>
                <patternFill>
                  <bgColor theme="6" tint="0.39994506668294322"/>
                </patternFill>
              </fill>
            </x14:dxf>
          </x14:cfRule>
          <xm:sqref>H176:H177 G178:G181 G162:G165</xm:sqref>
        </x14:conditionalFormatting>
        <x14:conditionalFormatting xmlns:xm="http://schemas.microsoft.com/office/excel/2006/main">
          <x14:cfRule type="expression" priority="17" id="{CCA82A64-F394-4B0F-A440-8CE10E794CC2}">
            <xm:f>'My Project'!$E$42&gt;0</xm:f>
            <x14:dxf>
              <fill>
                <patternFill>
                  <bgColor theme="5" tint="0.59996337778862885"/>
                </patternFill>
              </fill>
            </x14:dxf>
          </x14:cfRule>
          <xm:sqref>G28:G30</xm:sqref>
        </x14:conditionalFormatting>
        <x14:conditionalFormatting xmlns:xm="http://schemas.microsoft.com/office/excel/2006/main">
          <x14:cfRule type="expression" priority="16" id="{D1E28F8F-05FD-46EC-9F00-6C7704D1D8B1}">
            <xm:f>'My Project'!$E$44&gt;0</xm:f>
            <x14:dxf>
              <fill>
                <patternFill>
                  <bgColor theme="5" tint="0.59996337778862885"/>
                </patternFill>
              </fill>
            </x14:dxf>
          </x14:cfRule>
          <xm:sqref>G89:G92 G81:G87 G73:G79</xm:sqref>
        </x14:conditionalFormatting>
        <x14:conditionalFormatting xmlns:xm="http://schemas.microsoft.com/office/excel/2006/main">
          <x14:cfRule type="expression" priority="14" id="{C5AAF8B7-3E6D-44CB-B0E5-283CDA74DE12}">
            <xm:f>'My Project'!$E$46&gt;0</xm:f>
            <x14:dxf>
              <fill>
                <patternFill>
                  <bgColor theme="5" tint="0.59996337778862885"/>
                </patternFill>
              </fill>
            </x14:dxf>
          </x14:cfRule>
          <xm:sqref>G183:G186 G162:G165</xm:sqref>
        </x14:conditionalFormatting>
        <x14:conditionalFormatting xmlns:xm="http://schemas.microsoft.com/office/excel/2006/main">
          <x14:cfRule type="expression" priority="7" id="{6FC60E54-5A0C-48DB-A86F-5F15152AAD9C}">
            <xm:f>Parameters!$D$29&gt;0</xm:f>
            <x14:dxf>
              <fill>
                <patternFill>
                  <bgColor theme="6" tint="0.39994506668294322"/>
                </patternFill>
              </fill>
            </x14:dxf>
          </x14:cfRule>
          <xm:sqref>G48:G51 G53:G56 G58:G60 G62:G65</xm:sqref>
        </x14:conditionalFormatting>
        <x14:conditionalFormatting xmlns:xm="http://schemas.microsoft.com/office/excel/2006/main">
          <x14:cfRule type="expression" priority="5" id="{C0E9FA1E-E923-4E0E-955E-EB369F50F277}">
            <xm:f>'My Project'!$E$46&gt;0</xm:f>
            <x14:dxf>
              <fill>
                <patternFill>
                  <bgColor theme="6" tint="0.39994506668294322"/>
                </patternFill>
              </fill>
            </x14:dxf>
          </x14:cfRule>
          <xm:sqref>E167:E173</xm:sqref>
        </x14:conditionalFormatting>
        <x14:conditionalFormatting xmlns:xm="http://schemas.microsoft.com/office/excel/2006/main">
          <x14:cfRule type="expression" priority="3" id="{39EB80AB-2914-4612-BE82-A258EBBAA14A}">
            <xm:f>'My Project'!$E$45&gt;0</xm:f>
            <x14:dxf>
              <fill>
                <patternFill>
                  <bgColor theme="5" tint="0.59996337778862885"/>
                </patternFill>
              </fill>
            </x14:dxf>
          </x14:cfRule>
          <xm:sqref>G118:G124 G126:G133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E35"/>
  <sheetViews>
    <sheetView showGridLines="0" workbookViewId="0">
      <selection activeCell="B2" sqref="B2"/>
    </sheetView>
  </sheetViews>
  <sheetFormatPr defaultRowHeight="15" x14ac:dyDescent="0.25"/>
  <cols>
    <col min="2" max="2" width="11.140625" style="12" bestFit="1" customWidth="1"/>
    <col min="3" max="3" width="11.5703125" bestFit="1" customWidth="1"/>
    <col min="4" max="4" width="9.7109375" bestFit="1" customWidth="1"/>
    <col min="5" max="5" width="54.85546875" bestFit="1" customWidth="1"/>
  </cols>
  <sheetData>
    <row r="2" spans="2:5" x14ac:dyDescent="0.25">
      <c r="B2" s="149" t="s">
        <v>168</v>
      </c>
    </row>
    <row r="4" spans="2:5" x14ac:dyDescent="0.25">
      <c r="B4" s="5" t="s">
        <v>136</v>
      </c>
      <c r="C4" s="23"/>
    </row>
    <row r="5" spans="2:5" x14ac:dyDescent="0.25">
      <c r="B5" s="5"/>
      <c r="C5" s="23" t="s">
        <v>92</v>
      </c>
    </row>
    <row r="6" spans="2:5" x14ac:dyDescent="0.25">
      <c r="B6" s="61" t="s">
        <v>93</v>
      </c>
      <c r="C6" s="113">
        <f>'My Project'!D5</f>
        <v>0</v>
      </c>
      <c r="D6" s="110">
        <f>'My Project'!E5</f>
        <v>0</v>
      </c>
      <c r="E6" s="62" t="s">
        <v>94</v>
      </c>
    </row>
    <row r="7" spans="2:5" x14ac:dyDescent="0.25">
      <c r="B7" s="61" t="s">
        <v>95</v>
      </c>
      <c r="C7" s="113">
        <f>'My Project'!D6</f>
        <v>0</v>
      </c>
      <c r="D7" s="110">
        <f>'My Project'!E6</f>
        <v>0</v>
      </c>
      <c r="E7" s="62" t="s">
        <v>96</v>
      </c>
    </row>
    <row r="8" spans="2:5" x14ac:dyDescent="0.25">
      <c r="B8" s="61" t="s">
        <v>97</v>
      </c>
      <c r="C8" s="246">
        <f>'My Project'!D7</f>
        <v>0</v>
      </c>
      <c r="D8" s="247">
        <f>'My Project'!E7</f>
        <v>0</v>
      </c>
      <c r="E8" s="216" t="s">
        <v>302</v>
      </c>
    </row>
    <row r="9" spans="2:5" x14ac:dyDescent="0.25">
      <c r="B9" s="67" t="s">
        <v>99</v>
      </c>
      <c r="C9" s="114">
        <f>'My Project'!D8</f>
        <v>0</v>
      </c>
      <c r="D9" s="112">
        <f>'My Project'!E8</f>
        <v>0</v>
      </c>
      <c r="E9" s="66" t="s">
        <v>98</v>
      </c>
    </row>
    <row r="10" spans="2:5" x14ac:dyDescent="0.25">
      <c r="B10" s="70" t="s">
        <v>101</v>
      </c>
      <c r="C10" s="150">
        <f>'My Project'!D9</f>
        <v>0</v>
      </c>
      <c r="D10" s="151">
        <f>'My Project'!E9</f>
        <v>0</v>
      </c>
      <c r="E10" s="71" t="s">
        <v>100</v>
      </c>
    </row>
    <row r="11" spans="2:5" x14ac:dyDescent="0.25">
      <c r="B11" s="61" t="s">
        <v>330</v>
      </c>
      <c r="C11" s="113">
        <f>'My Project'!D10</f>
        <v>0</v>
      </c>
      <c r="D11" s="110">
        <f>'My Project'!E10</f>
        <v>0</v>
      </c>
      <c r="E11" t="s">
        <v>274</v>
      </c>
    </row>
    <row r="12" spans="2:5" x14ac:dyDescent="0.25">
      <c r="C12" s="19"/>
      <c r="D12" s="20"/>
    </row>
    <row r="13" spans="2:5" x14ac:dyDescent="0.25">
      <c r="C13" s="157" t="s">
        <v>102</v>
      </c>
      <c r="D13" s="20"/>
    </row>
    <row r="14" spans="2:5" x14ac:dyDescent="0.25">
      <c r="B14" s="61" t="s">
        <v>227</v>
      </c>
      <c r="C14" s="113">
        <f>'My Project'!D20</f>
        <v>0</v>
      </c>
      <c r="D14" s="110"/>
      <c r="E14" s="62"/>
    </row>
    <row r="15" spans="2:5" x14ac:dyDescent="0.25">
      <c r="B15" s="67" t="s">
        <v>228</v>
      </c>
      <c r="C15" s="114">
        <f>'My Project'!D30</f>
        <v>0</v>
      </c>
      <c r="D15" s="112"/>
      <c r="E15" s="66"/>
    </row>
    <row r="16" spans="2:5" x14ac:dyDescent="0.25">
      <c r="B16" s="70" t="s">
        <v>110</v>
      </c>
      <c r="C16" s="150">
        <f>C14+C15</f>
        <v>0</v>
      </c>
      <c r="D16" s="151">
        <v>1</v>
      </c>
      <c r="E16" s="71" t="s">
        <v>111</v>
      </c>
    </row>
    <row r="17" spans="2:5" x14ac:dyDescent="0.25">
      <c r="B17" s="13"/>
      <c r="C17" s="19"/>
      <c r="D17" s="20"/>
    </row>
    <row r="18" spans="2:5" x14ac:dyDescent="0.25">
      <c r="B18" s="13"/>
      <c r="C18" s="23" t="s">
        <v>112</v>
      </c>
      <c r="D18" s="20"/>
    </row>
    <row r="19" spans="2:5" x14ac:dyDescent="0.25">
      <c r="B19" s="152"/>
      <c r="C19" s="113">
        <f>'My Project'!D33</f>
        <v>0</v>
      </c>
      <c r="D19" s="110">
        <f>IF(C19&gt;0,C19/$C$23,0)</f>
        <v>0</v>
      </c>
      <c r="E19" s="62" t="s">
        <v>113</v>
      </c>
    </row>
    <row r="20" spans="2:5" x14ac:dyDescent="0.25">
      <c r="B20" s="152"/>
      <c r="C20" s="113">
        <f>'My Project'!D34</f>
        <v>0</v>
      </c>
      <c r="D20" s="110">
        <f>IF(C20&gt;0,C20/$C$23,0)</f>
        <v>0</v>
      </c>
      <c r="E20" s="62" t="s">
        <v>114</v>
      </c>
    </row>
    <row r="21" spans="2:5" x14ac:dyDescent="0.25">
      <c r="B21" s="153" t="s">
        <v>115</v>
      </c>
      <c r="C21" s="113">
        <f>'My Project'!D35</f>
        <v>0</v>
      </c>
      <c r="D21" s="110">
        <f>IF(C21&gt;0,C21/$C$23,0)</f>
        <v>0</v>
      </c>
      <c r="E21" s="62" t="s">
        <v>116</v>
      </c>
    </row>
    <row r="22" spans="2:5" x14ac:dyDescent="0.25">
      <c r="B22" s="155" t="s">
        <v>117</v>
      </c>
      <c r="C22" s="114">
        <f>'My Project'!D36</f>
        <v>0</v>
      </c>
      <c r="D22" s="112">
        <f>IF(C22&gt;0,C22/$C$23,0)</f>
        <v>0</v>
      </c>
      <c r="E22" s="66" t="s">
        <v>118</v>
      </c>
    </row>
    <row r="23" spans="2:5" x14ac:dyDescent="0.25">
      <c r="B23" s="154" t="s">
        <v>119</v>
      </c>
      <c r="C23" s="150">
        <f>SUM(C19:C22)</f>
        <v>0</v>
      </c>
      <c r="D23" s="151">
        <f>IF(C23&gt;0,C23/$C$23,0)</f>
        <v>0</v>
      </c>
      <c r="E23" s="71" t="s">
        <v>120</v>
      </c>
    </row>
    <row r="24" spans="2:5" x14ac:dyDescent="0.25">
      <c r="B24" s="61"/>
      <c r="C24" s="113">
        <f>SUM(C21:C22)</f>
        <v>0</v>
      </c>
      <c r="D24" s="110">
        <f>SUM(D21:D22)</f>
        <v>0</v>
      </c>
      <c r="E24" s="62" t="s">
        <v>6</v>
      </c>
    </row>
    <row r="25" spans="2:5" x14ac:dyDescent="0.25">
      <c r="B25" s="61"/>
      <c r="C25" s="113">
        <f>C16-C23</f>
        <v>0</v>
      </c>
      <c r="D25" s="110">
        <f>D16-D23</f>
        <v>1</v>
      </c>
      <c r="E25" s="62" t="s">
        <v>121</v>
      </c>
    </row>
    <row r="26" spans="2:5" x14ac:dyDescent="0.25">
      <c r="B26" s="13"/>
    </row>
    <row r="27" spans="2:5" x14ac:dyDescent="0.25">
      <c r="B27" s="13"/>
      <c r="C27" s="157" t="s">
        <v>30</v>
      </c>
      <c r="D27" s="20"/>
    </row>
    <row r="28" spans="2:5" x14ac:dyDescent="0.25">
      <c r="B28" s="61" t="s">
        <v>122</v>
      </c>
      <c r="C28" s="113" t="e">
        <f>'My Project'!D42</f>
        <v>#DIV/0!</v>
      </c>
      <c r="D28" s="110" t="e">
        <f>'My Project'!E42</f>
        <v>#DIV/0!</v>
      </c>
      <c r="E28" s="62" t="s">
        <v>123</v>
      </c>
    </row>
    <row r="29" spans="2:5" x14ac:dyDescent="0.25">
      <c r="B29" s="61" t="s">
        <v>229</v>
      </c>
      <c r="C29" s="113" t="e">
        <f>'My Project'!D43</f>
        <v>#DIV/0!</v>
      </c>
      <c r="D29" s="110" t="e">
        <f>'My Project'!E43</f>
        <v>#DIV/0!</v>
      </c>
      <c r="E29" s="62" t="s">
        <v>223</v>
      </c>
    </row>
    <row r="30" spans="2:5" x14ac:dyDescent="0.25">
      <c r="B30" s="61" t="s">
        <v>124</v>
      </c>
      <c r="C30" s="113" t="e">
        <f>'My Project'!D44</f>
        <v>#DIV/0!</v>
      </c>
      <c r="D30" s="110" t="e">
        <f>'My Project'!E44</f>
        <v>#DIV/0!</v>
      </c>
      <c r="E30" s="62" t="s">
        <v>32</v>
      </c>
    </row>
    <row r="31" spans="2:5" x14ac:dyDescent="0.25">
      <c r="B31" s="61" t="s">
        <v>125</v>
      </c>
      <c r="C31" s="113" t="e">
        <f>'My Project'!D45</f>
        <v>#DIV/0!</v>
      </c>
      <c r="D31" s="110" t="e">
        <f>'My Project'!E45</f>
        <v>#DIV/0!</v>
      </c>
      <c r="E31" s="62" t="s">
        <v>70</v>
      </c>
    </row>
    <row r="32" spans="2:5" x14ac:dyDescent="0.25">
      <c r="B32" s="67" t="s">
        <v>126</v>
      </c>
      <c r="C32" s="114" t="e">
        <f>'My Project'!D46</f>
        <v>#DIV/0!</v>
      </c>
      <c r="D32" s="112" t="e">
        <f>'My Project'!E46</f>
        <v>#DIV/0!</v>
      </c>
      <c r="E32" s="66" t="s">
        <v>78</v>
      </c>
    </row>
    <row r="33" spans="2:5" x14ac:dyDescent="0.25">
      <c r="B33" s="70"/>
      <c r="C33" s="156" t="e">
        <f>'My Project'!D47</f>
        <v>#DIV/0!</v>
      </c>
      <c r="D33" s="151" t="e">
        <f>'My Project'!E47</f>
        <v>#DIV/0!</v>
      </c>
      <c r="E33" s="71" t="s">
        <v>127</v>
      </c>
    </row>
    <row r="34" spans="2:5" x14ac:dyDescent="0.25">
      <c r="D34" s="20"/>
    </row>
    <row r="35" spans="2:5" x14ac:dyDescent="0.25">
      <c r="C35" s="19"/>
      <c r="D35" s="2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3:L20"/>
  <sheetViews>
    <sheetView showGridLines="0" workbookViewId="0">
      <selection activeCell="B3" sqref="B3"/>
    </sheetView>
  </sheetViews>
  <sheetFormatPr defaultRowHeight="15" x14ac:dyDescent="0.25"/>
  <cols>
    <col min="2" max="2" width="24.85546875" bestFit="1" customWidth="1"/>
    <col min="3" max="5" width="12.7109375" customWidth="1"/>
    <col min="6" max="6" width="2.7109375" style="10" customWidth="1"/>
    <col min="7" max="8" width="11.85546875" customWidth="1"/>
  </cols>
  <sheetData>
    <row r="3" spans="2:12" x14ac:dyDescent="0.25">
      <c r="B3" s="163" t="s">
        <v>210</v>
      </c>
      <c r="C3" s="163"/>
      <c r="D3" s="163"/>
      <c r="E3" s="163"/>
      <c r="F3" s="164"/>
    </row>
    <row r="4" spans="2:12" ht="45" x14ac:dyDescent="0.25">
      <c r="B4" s="62"/>
      <c r="C4" s="158" t="s">
        <v>226</v>
      </c>
      <c r="D4" s="158" t="s">
        <v>89</v>
      </c>
      <c r="E4" s="158" t="s">
        <v>90</v>
      </c>
      <c r="G4" s="9"/>
      <c r="H4" s="9"/>
      <c r="I4" s="9"/>
      <c r="J4" s="10"/>
      <c r="K4" s="10"/>
      <c r="L4" s="10"/>
    </row>
    <row r="5" spans="2:12" x14ac:dyDescent="0.25">
      <c r="B5" t="s">
        <v>91</v>
      </c>
      <c r="C5" s="12">
        <v>23</v>
      </c>
      <c r="D5" s="14">
        <v>1</v>
      </c>
      <c r="E5" s="160">
        <f t="shared" ref="E5:E10" si="0">D5*C5</f>
        <v>23</v>
      </c>
      <c r="G5" s="9"/>
      <c r="H5" s="9"/>
      <c r="I5" s="9"/>
      <c r="J5" s="10"/>
      <c r="K5" s="10"/>
      <c r="L5" s="10"/>
    </row>
    <row r="6" spans="2:12" x14ac:dyDescent="0.25">
      <c r="B6" s="62" t="s">
        <v>6</v>
      </c>
      <c r="C6" s="61">
        <v>77</v>
      </c>
      <c r="D6" s="159">
        <v>1</v>
      </c>
      <c r="E6" s="160">
        <f t="shared" si="0"/>
        <v>77</v>
      </c>
      <c r="G6" s="15"/>
      <c r="H6" s="16"/>
      <c r="I6" s="11"/>
      <c r="J6" s="10"/>
      <c r="K6" s="10"/>
      <c r="L6" s="10"/>
    </row>
    <row r="7" spans="2:12" x14ac:dyDescent="0.25">
      <c r="B7" s="62" t="s">
        <v>32</v>
      </c>
      <c r="C7" s="61">
        <v>77</v>
      </c>
      <c r="D7" s="159">
        <v>1</v>
      </c>
      <c r="E7" s="160">
        <f t="shared" si="0"/>
        <v>77</v>
      </c>
      <c r="G7" s="15"/>
      <c r="H7" s="16"/>
      <c r="I7" s="11"/>
      <c r="J7" s="10"/>
      <c r="K7" s="10"/>
      <c r="L7" s="10"/>
    </row>
    <row r="8" spans="2:12" x14ac:dyDescent="0.25">
      <c r="B8" s="62" t="s">
        <v>70</v>
      </c>
      <c r="C8" s="61">
        <v>77</v>
      </c>
      <c r="D8" s="159">
        <v>1</v>
      </c>
      <c r="E8" s="160">
        <f t="shared" si="0"/>
        <v>77</v>
      </c>
      <c r="G8" s="15"/>
      <c r="H8" s="16"/>
      <c r="I8" s="11"/>
      <c r="J8" s="10"/>
      <c r="K8" s="10"/>
      <c r="L8" s="10"/>
    </row>
    <row r="9" spans="2:12" x14ac:dyDescent="0.25">
      <c r="B9" s="62" t="s">
        <v>78</v>
      </c>
      <c r="C9" s="61">
        <v>77</v>
      </c>
      <c r="D9" s="159">
        <v>1</v>
      </c>
      <c r="E9" s="160">
        <f t="shared" si="0"/>
        <v>77</v>
      </c>
      <c r="G9" s="15"/>
      <c r="H9" s="16"/>
      <c r="I9" s="11"/>
      <c r="J9" s="10"/>
      <c r="K9" s="10"/>
      <c r="L9" s="10"/>
    </row>
    <row r="10" spans="2:12" x14ac:dyDescent="0.25">
      <c r="B10" s="66" t="s">
        <v>209</v>
      </c>
      <c r="C10" s="67">
        <v>77</v>
      </c>
      <c r="D10" s="161">
        <v>1</v>
      </c>
      <c r="E10" s="162">
        <f t="shared" si="0"/>
        <v>77</v>
      </c>
      <c r="G10" s="15"/>
      <c r="H10" s="16"/>
      <c r="I10" s="11"/>
      <c r="J10" s="10"/>
      <c r="K10" s="10"/>
      <c r="L10" s="10"/>
    </row>
    <row r="11" spans="2:12" x14ac:dyDescent="0.25">
      <c r="C11" s="12"/>
      <c r="D11" s="12"/>
      <c r="G11" s="17"/>
      <c r="H11" s="16"/>
      <c r="I11" s="11"/>
      <c r="J11" s="10"/>
      <c r="K11" s="10"/>
      <c r="L11" s="10"/>
    </row>
    <row r="20" spans="2:2" x14ac:dyDescent="0.25">
      <c r="B20" s="1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How to use this worksheet</vt:lpstr>
      <vt:lpstr>My Project</vt:lpstr>
      <vt:lpstr>Expected Cost</vt:lpstr>
      <vt:lpstr>Consolidated Score Sheet</vt:lpstr>
      <vt:lpstr>Parameters</vt:lpstr>
      <vt:lpstr>Priorities</vt:lpstr>
      <vt:lpstr>'Consolidated Score Sheet'!Print_Area</vt:lpstr>
      <vt:lpstr>'Expected Cost'!Print_Area</vt:lpstr>
      <vt:lpstr>'How to use this worksheet'!Print_Area</vt:lpstr>
      <vt:lpstr>'My Project'!Print_Area</vt:lpstr>
      <vt:lpstr>Parameters!Print_Area</vt:lpstr>
      <vt:lpstr>Priorities!Print_Area</vt:lpstr>
      <vt:lpstr>'Consolidated Score Sheet'!Print_Titles</vt:lpstr>
      <vt:lpstr>'My Project'!Print_Titles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Doty</dc:creator>
  <cp:lastModifiedBy>Wayne Doty</cp:lastModifiedBy>
  <cp:lastPrinted>2017-10-24T17:02:54Z</cp:lastPrinted>
  <dcterms:created xsi:type="dcterms:W3CDTF">2013-12-09T22:48:24Z</dcterms:created>
  <dcterms:modified xsi:type="dcterms:W3CDTF">2017-10-24T17:50:02Z</dcterms:modified>
</cp:coreProperties>
</file>