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8_{2CE12DB0-1F51-400D-A4A9-7BCC2BA8654E}"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Photo Gallery" sheetId="7" r:id="rId3"/>
    <sheet name="Lists" sheetId="4" state="hidden" r:id="rId4"/>
  </sheets>
  <externalReferences>
    <externalReference r:id="rId5"/>
    <externalReference r:id="rId6"/>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3" l="1"/>
  <c r="D44" i="3"/>
  <c r="D39" i="3"/>
  <c r="G81" i="3" l="1"/>
  <c r="G80"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l="1"/>
  <c r="H48" i="3"/>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<sst xmlns="http://schemas.openxmlformats.org/spreadsheetml/2006/main" count="227" uniqueCount="205">
  <si>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</si>
  <si>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</si>
  <si>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</si>
  <si>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</si>
  <si>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</si>
  <si>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</si>
  <si>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</si>
  <si>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</si>
  <si>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</si>
  <si>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</si>
  <si>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</si>
  <si>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</si>
  <si>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</si>
  <si>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</si>
  <si>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</si>
  <si>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</si>
  <si>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</si>
  <si>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</si>
  <si>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</si>
  <si>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</si>
  <si>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</si>
  <si>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</si>
  <si>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</si>
  <si>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</si>
  <si>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</si>
  <si>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</si>
  <si>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</si>
  <si>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</si>
  <si>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</si>
  <si>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</si>
  <si>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</si>
  <si>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</si>
  <si>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</si>
  <si>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</si>
  <si>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</si>
  <si>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</si>
  <si>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</si>
  <si>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</si>
  <si>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</si>
  <si>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</si>
  <si>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</si>
  <si>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</si>
  <si>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</si>
  <si>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</si>
  <si>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</si>
  <si>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</si>
  <si>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</si>
  <si>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</si>
  <si>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</si>
  <si>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</si>
  <si>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</si>
  <si>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</si>
  <si>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</si>
  <si>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</si>
  <si>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</si>
  <si>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</si>
  <si>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</si>
  <si>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</si>
  <si>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</si>
  <si>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</si>
  <si>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</si>
  <si>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</si>
  <si>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</si>
  <si>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</si>
  <si>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</si>
  <si>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</si>
  <si>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</si>
  <si>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</si>
  <si>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</si>
  <si>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</si>
  <si>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</si>
  <si>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</si>
  <si>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</si>
  <si>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</si>
  <si>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</si>
  <si>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</si>
  <si>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</si>
  <si>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</si>
  <si>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</si>
  <si>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</si>
  <si>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</si>
  <si>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</si>
  <si>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</si>
  <si>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</si>
  <si>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</si>
  <si>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</si>
  <si>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</si>
  <si>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</si>
  <si>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</si>
  <si>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</si>
  <si>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</si>
  <si>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</si>
  <si>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</si>
  <si>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</si>
  <si>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</si>
  <si>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</si>
  <si>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</si>
  <si>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</si>
  <si>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</si>
  <si>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</si>
  <si>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</si>
  <si>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</si>
  <si>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</si>
  <si>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</si>
  <si>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</si>
  <si>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</si>
  <si>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</si>
  <si>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</si>
  <si>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</si>
  <si>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</si>
  <si>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</si>
  <si>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</si>
  <si>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</si>
  <si>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</si>
  <si>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</si>
  <si>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</si>
  <si>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</si>
  <si>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</si>
  <si>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</si>
  <si>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</si>
  <si>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</si>
  <si>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</si>
  <si>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</si>
  <si>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</si>
  <si>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</si>
  <si>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</si>
  <si>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</si>
  <si>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</si>
  <si>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</si>
  <si>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</si>
  <si>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</si>
  <si>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</si>
  <si>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</si>
  <si>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</si>
  <si>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</si>
  <si>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</si>
  <si>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</si>
  <si>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</si>
  <si>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</si>
  <si>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</si>
  <si>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</si>
  <si>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</si>
  <si>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</si>
  <si>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</si>
  <si>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</si>
  <si>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</si>
  <si>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</si>
  <si>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</si>
  <si>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</si>
  <si>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</si>
  <si>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</si>
  <si>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</si>
  <si>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</si>
  <si>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</si>
  <si>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</si>
  <si>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</si>
  <si>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</si>
  <si>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</si>
  <si>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</si>
  <si>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</si>
  <si>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</si>
  <si>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</si>
  <si>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</si>
  <si>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</si>
  <si>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</si>
  <si>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</si>
  <si>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</si>
  <si>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</si>
  <si>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</si>
  <si>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</si>
  <si>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</si>
  <si>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</si>
  <si>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</si>
  <si>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</si>
  <si>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</si>
  <si>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</si>
  <si>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</si>
  <si>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</si>
  <si>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</si>
  <si>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</si>
  <si>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</si>
  <si>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</si>
  <si>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</si>
  <si>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</si>
  <si>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</si>
  <si>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</si>
  <si>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Lower Columbia College Center for Vocational &amp; Transitional Studies</t>
  </si>
  <si>
    <t>Nolan Wheeler</t>
  </si>
  <si>
    <t>360-442-2201</t>
  </si>
  <si>
    <t>nwheeler@lowercolumbia.edu</t>
  </si>
  <si>
    <t>The Vocational Education &amp; Classroom Building will provide labs, classrooms, informal student study spaces and offices to serve the College's programs in machine trades, manufacturing, welding, information technology and transitional studies.</t>
  </si>
  <si>
    <t xml:space="preserve">Pre-design - Engineering agreement signed 11/10/21.  Pre-design report approved by OFM on 4/26/22.  Architect selection for design completed on 5/19/22 (firm MSGS selected).  Design team completed SD on 12/16/22 and starting on DD phase.  A community leader share out of the schematic design was held on 12/13/22 and was very well attended.  Project design work delayed pending future state funding.  The City of Longview notified LCC on 5/22/2023 that they are requiring LCC to replace the 20-inch watermain that bisects campus from north to south with a new watermain in the 15th Avenue corridor.  During the Project Request and Pre-design phase, LCC had been told that the city would only require protection of the existing watermain.  This new requirement increases the cost of the project by approximately $3.4MM.  Meetings are ongoing to be ready in July 2025.  Art in Public Places reached out to start the artwork process. </t>
  </si>
  <si>
    <t>C09</t>
  </si>
  <si>
    <t>E01</t>
  </si>
  <si>
    <t>McGranahan &amp; BCE</t>
  </si>
  <si>
    <t>MSGS Architects Inc</t>
  </si>
  <si>
    <t>Daily Journal of Commerce, PBS, PUD, City of Longview</t>
  </si>
  <si>
    <t>Sazan Envirn</t>
  </si>
  <si>
    <t>057  - State Bldgs. Const Acct</t>
  </si>
  <si>
    <t>% of Bldgs. Area that is being remodeled</t>
  </si>
  <si>
    <t>MSGS Architects Inc, Neely Construction Co</t>
  </si>
  <si>
    <t xml:space="preserve">Demolish: UFI A09213 Science = 6,994 gsf / UFI A03581 Vocational = 32,250 gsf / UFI A01344 Physical Science = 9,551 gsf
</t>
  </si>
  <si>
    <t>Wa Arts Commission: Dec  2025 in conversation - Artist selected, Mary Coss, In design.</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</si>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</sst>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6">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7" xfId="0" applyFont="1" applyBorder="1"/>
    <xf numFmtId="168" fontId="2" fillId="0" borderId="10" xfId="1" applyNumberFormat="1" applyFont="1" applyFill="1" applyBorder="1" applyProtection="1"/>
    <xf numFmtId="0" fontId="0" fillId="0" borderId="38" xfId="0" applyBorder="1" applyAlignment="1">
      <alignment horizontal="right"/>
    </xf>
    <xf numFmtId="3" fontId="1" fillId="2" borderId="43"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39" xfId="0" applyFont="1" applyBorder="1" applyAlignment="1">
      <alignment horizontal="right"/>
    </xf>
    <xf numFmtId="164" fontId="2" fillId="0" borderId="39" xfId="2" applyNumberFormat="1" applyFont="1" applyFill="1" applyBorder="1" applyAlignment="1" applyProtection="1"/>
    <xf numFmtId="164" fontId="0" fillId="0" borderId="39"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3"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4"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6"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39" xfId="0" applyBorder="1" applyAlignment="1">
      <alignment horizontal="left"/>
    </xf>
    <xf numFmtId="0" fontId="0" fillId="0" borderId="36"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2" xfId="0" applyNumberFormat="1" applyFont="1" applyBorder="1"/>
    <xf numFmtId="0" fontId="0" fillId="0" borderId="42"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8" xfId="0" applyFont="1" applyBorder="1" applyAlignment="1" applyProtection="1">
      <alignment horizontal="right"/>
      <protection locked="0"/>
    </xf>
    <xf numFmtId="0" fontId="0" fillId="0" borderId="38"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5"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0"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1"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8"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46" xfId="0" applyFill="1" applyBorder="1" applyAlignment="1" applyProtection="1">
      <alignment horizontal="left"/>
      <protection locked="0"/>
    </xf>
    <xf numFmtId="0" fontId="0" fillId="3" borderId="39" xfId="0" applyFill="1" applyBorder="1" applyAlignment="1" applyProtection="1">
      <alignment horizontal="left"/>
      <protection locked="0"/>
    </xf>
    <xf numFmtId="0" fontId="0" fillId="3" borderId="47" xfId="0" applyFill="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3" borderId="9" xfId="0" applyNumberFormat="1" applyFill="1" applyBorder="1" applyAlignment="1" applyProtection="1">
      <alignment horizontal="left"/>
      <protection locked="0"/>
    </xf>
    <xf numFmtId="170" fontId="0" fillId="3" borderId="11" xfId="0" applyNumberFormat="1" applyFill="1" applyBorder="1" applyAlignment="1" applyProtection="1">
      <alignment horizontal="left"/>
      <protection locked="0"/>
    </xf>
    <xf numFmtId="170" fontId="0" fillId="3" borderId="10" xfId="0" applyNumberFormat="1" applyFill="1" applyBorder="1" applyAlignment="1" applyProtection="1">
      <alignment horizontal="left"/>
      <protection locked="0"/>
    </xf>
    <xf numFmtId="0" fontId="4" fillId="3" borderId="9" xfId="4" applyFill="1" applyBorder="1" applyAlignment="1" applyProtection="1">
      <alignment horizontal="left"/>
      <protection locked="0"/>
    </xf>
    <xf numFmtId="0" fontId="4" fillId="3" borderId="11" xfId="4" applyFill="1" applyBorder="1" applyAlignment="1" applyProtection="1">
      <alignment horizontal="left"/>
      <protection locked="0"/>
    </xf>
    <xf numFmtId="0" fontId="4" fillId="3" borderId="10" xfId="4" applyFill="1" applyBorder="1" applyAlignment="1" applyProtection="1">
      <alignment horizontal="left"/>
      <protection locked="0"/>
    </xf>
    <xf numFmtId="0" fontId="0" fillId="3" borderId="13"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0" xfId="0" applyAlignment="1">
      <alignment horizontal="left"/>
    </xf>
    <xf numFmtId="0" fontId="6" fillId="3" borderId="13" xfId="0" applyFont="1" applyFill="1" applyBorder="1" applyAlignment="1" applyProtection="1">
      <alignment horizontal="center" wrapText="1"/>
      <protection locked="0"/>
    </xf>
    <xf numFmtId="9" fontId="0" fillId="3" borderId="9" xfId="3" applyFont="1" applyFill="1" applyBorder="1" applyAlignment="1" applyProtection="1">
      <alignment horizontal="center"/>
      <protection locked="0"/>
    </xf>
    <xf numFmtId="9" fontId="0" fillId="3" borderId="10" xfId="3" applyFont="1" applyFill="1" applyBorder="1" applyAlignment="1" applyProtection="1">
      <alignment horizontal="center"/>
      <protection locked="0"/>
    </xf>
    <xf numFmtId="0" fontId="0" fillId="3" borderId="1" xfId="0" applyFill="1" applyBorder="1" applyAlignment="1" applyProtection="1">
      <alignment vertical="top" wrapText="1"/>
      <protection locked="0"/>
    </xf>
    <xf numFmtId="0" fontId="0" fillId="3" borderId="2" xfId="0" applyFill="1" applyBorder="1" applyAlignment="1" applyProtection="1">
      <alignment vertical="top"/>
      <protection locked="0"/>
    </xf>
    <xf numFmtId="0" fontId="0" fillId="3" borderId="3" xfId="0" applyFill="1" applyBorder="1" applyAlignment="1" applyProtection="1">
      <alignment vertical="top"/>
      <protection locked="0"/>
    </xf>
    <xf numFmtId="0" fontId="0" fillId="3" borderId="4" xfId="0" applyFill="1" applyBorder="1" applyAlignment="1" applyProtection="1">
      <alignment vertical="top"/>
      <protection locked="0"/>
    </xf>
    <xf numFmtId="0" fontId="0" fillId="3" borderId="0" xfId="0" applyFill="1" applyAlignment="1" applyProtection="1">
      <alignment vertical="top"/>
      <protection locked="0"/>
    </xf>
    <xf numFmtId="0" fontId="0" fillId="3" borderId="5" xfId="0" applyFill="1" applyBorder="1" applyAlignment="1" applyProtection="1">
      <alignment vertical="top"/>
      <protection locked="0"/>
    </xf>
    <xf numFmtId="0" fontId="0" fillId="3" borderId="6" xfId="0" applyFill="1" applyBorder="1" applyAlignment="1" applyProtection="1">
      <alignment vertical="top"/>
      <protection locked="0"/>
    </xf>
    <xf numFmtId="0" fontId="0" fillId="3" borderId="7" xfId="0" applyFill="1" applyBorder="1" applyAlignment="1" applyProtection="1">
      <alignment vertical="top"/>
      <protection locked="0"/>
    </xf>
    <xf numFmtId="0" fontId="0" fillId="3" borderId="8" xfId="0" applyFill="1" applyBorder="1" applyAlignment="1" applyProtection="1">
      <alignment vertical="top"/>
      <protection locked="0"/>
    </xf>
    <xf numFmtId="49" fontId="0" fillId="3" borderId="17" xfId="0" applyNumberFormat="1" applyFill="1" applyBorder="1" applyAlignment="1" applyProtection="1">
      <alignment vertical="top" wrapText="1"/>
      <protection locked="0"/>
    </xf>
    <xf numFmtId="49" fontId="0" fillId="3" borderId="0" xfId="0" applyNumberFormat="1" applyFill="1" applyAlignment="1" applyProtection="1">
      <alignment vertical="top" wrapText="1"/>
      <protection locked="0"/>
    </xf>
    <xf numFmtId="49" fontId="0" fillId="3" borderId="18" xfId="0" applyNumberFormat="1" applyFill="1" applyBorder="1" applyAlignment="1" applyProtection="1">
      <alignment vertical="top" wrapText="1"/>
      <protection locked="0"/>
    </xf>
    <xf numFmtId="49" fontId="0" fillId="3" borderId="19" xfId="0" applyNumberFormat="1" applyFill="1" applyBorder="1" applyAlignment="1" applyProtection="1">
      <alignment vertical="top" wrapText="1"/>
      <protection locked="0"/>
    </xf>
    <xf numFmtId="49" fontId="0" fillId="3" borderId="20" xfId="0" applyNumberFormat="1" applyFill="1" applyBorder="1" applyAlignment="1" applyProtection="1">
      <alignment vertical="top" wrapText="1"/>
      <protection locked="0"/>
    </xf>
    <xf numFmtId="49" fontId="0" fillId="3" borderId="21" xfId="0" applyNumberFormat="1" applyFill="1" applyBorder="1" applyAlignment="1" applyProtection="1">
      <alignment vertical="top" wrapText="1"/>
      <protection locked="0"/>
    </xf>
    <xf numFmtId="49" fontId="0" fillId="3" borderId="14" xfId="0" applyNumberFormat="1" applyFill="1" applyBorder="1" applyAlignment="1" applyProtection="1">
      <alignment horizontal="centerContinuous" vertical="top" wrapText="1"/>
      <protection locked="0"/>
    </xf>
    <xf numFmtId="49" fontId="0" fillId="3" borderId="15" xfId="0" applyNumberFormat="1" applyFill="1" applyBorder="1" applyAlignment="1" applyProtection="1">
      <alignment horizontal="centerContinuous" vertical="top" wrapText="1"/>
      <protection locked="0"/>
    </xf>
    <xf numFmtId="49" fontId="0" fillId="3" borderId="16" xfId="0" applyNumberFormat="1" applyFill="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cellXfs>
  <cellStyles count="5">
    <cellStyle name="Comma" xfId="1" builtinId="3"/>
    <cellStyle name="Currency" xfId="2" builtinId="4"/>
    <cellStyle name="Hyperlink" xfId="4" builtinId="8"/>
    <cellStyle name="Normal" xfId="0" builtinId="0"/>
    <cellStyle name="Percent" xfId="3" builtinId="5"/>
  </cellStyles>
  <dxfs count="3">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123825</xdr:colOff>
      <xdr:row>4</xdr:row>
      <xdr:rowOff>477</xdr:rowOff>
    </xdr:from>
    <xdr:to>
      <xdr:col>7</xdr:col>
      <xdr:colOff>188481</xdr:colOff>
      <xdr:row>17</xdr:row>
      <xdr:rowOff>171629</xdr:rowOff>
    </xdr:to>
    <xdr:pic>
      <xdr:nvPicPr>
        <xdr:cNvPr id="4" name="Picture 3" descr="Pre-design Concept Sketch 01 2/22/22&#10;">
          <a:extLst>
            <a:ext uri="{FF2B5EF4-FFF2-40B4-BE49-F238E27FC236}">
              <a16:creationId xmlns:a16="http://schemas.microsoft.com/office/drawing/2014/main" id="{749156BA-472B-4B8A-AEBE-89A5141867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33425" y="810102"/>
          <a:ext cx="3722256" cy="252382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oneCellAnchor>
    <xdr:from>
      <xdr:col>0</xdr:col>
      <xdr:colOff>400050</xdr:colOff>
      <xdr:row>18</xdr:row>
      <xdr:rowOff>82550</xdr:rowOff>
    </xdr:from>
    <xdr:ext cx="4429125" cy="247650"/>
    <xdr:sp macro="" textlink="">
      <xdr:nvSpPr>
        <xdr:cNvPr id="14" name="Shape 3" descr="Pre-design Concept Sketch 01 2/22/22&#10;">
          <a:extLst>
            <a:ext uri="{FF2B5EF4-FFF2-40B4-BE49-F238E27FC236}">
              <a16:creationId xmlns:a16="http://schemas.microsoft.com/office/drawing/2014/main" id="{74B43ECA-0C37-4B4B-BAC1-324ACD5A5578}"/>
            </a:ext>
          </a:extLst>
        </xdr:cNvPr>
        <xdr:cNvSpPr txBox="1"/>
      </xdr:nvSpPr>
      <xdr:spPr>
        <a:xfrm>
          <a:off x="400050" y="3425825"/>
          <a:ext cx="4429125"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Pre-design Concept Sketch 01 2/22/22</a:t>
          </a:r>
          <a:endParaRPr sz="1400"/>
        </a:p>
        <a:p>
          <a:pPr marL="0" lvl="0" indent="0" algn="ctr" rtl="0">
            <a:spcBef>
              <a:spcPts val="0"/>
            </a:spcBef>
            <a:spcAft>
              <a:spcPts val="0"/>
            </a:spcAft>
            <a:buNone/>
          </a:pPr>
          <a:endParaRPr sz="1100" b="1">
            <a:solidFill>
              <a:schemeClr val="lt1"/>
            </a:solidFill>
          </a:endParaRPr>
        </a:p>
      </xdr:txBody>
    </xdr:sp>
    <xdr:clientData fLocksWithSheet="0"/>
  </xdr:oneCellAnchor>
  <xdr:twoCellAnchor>
    <xdr:from>
      <xdr:col>10</xdr:col>
      <xdr:colOff>247650</xdr:colOff>
      <xdr:row>4</xdr:row>
      <xdr:rowOff>10138</xdr:rowOff>
    </xdr:from>
    <xdr:to>
      <xdr:col>16</xdr:col>
      <xdr:colOff>315481</xdr:colOff>
      <xdr:row>18</xdr:row>
      <xdr:rowOff>2264</xdr:rowOff>
    </xdr:to>
    <xdr:pic>
      <xdr:nvPicPr>
        <xdr:cNvPr id="5" name="Picture 4" descr="Pre-design Concept Sketch 02 2/22/22&#10;">
          <a:extLst>
            <a:ext uri="{FF2B5EF4-FFF2-40B4-BE49-F238E27FC236}">
              <a16:creationId xmlns:a16="http://schemas.microsoft.com/office/drawing/2014/main" id="{19EE0A2C-59C6-4913-9C99-9C937FA766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343650" y="819763"/>
          <a:ext cx="3725431" cy="252577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oneCellAnchor>
    <xdr:from>
      <xdr:col>9</xdr:col>
      <xdr:colOff>533400</xdr:colOff>
      <xdr:row>18</xdr:row>
      <xdr:rowOff>92075</xdr:rowOff>
    </xdr:from>
    <xdr:ext cx="4429125" cy="247650"/>
    <xdr:sp macro="" textlink="">
      <xdr:nvSpPr>
        <xdr:cNvPr id="15" name="Shape 4">
          <a:extLst>
            <a:ext uri="{FF2B5EF4-FFF2-40B4-BE49-F238E27FC236}">
              <a16:creationId xmlns:a16="http://schemas.microsoft.com/office/drawing/2014/main" id="{B33A172F-8EB4-4D6E-8636-D727BB08ACD5}"/>
            </a:ext>
          </a:extLst>
        </xdr:cNvPr>
        <xdr:cNvSpPr txBox="1"/>
      </xdr:nvSpPr>
      <xdr:spPr>
        <a:xfrm>
          <a:off x="6019800" y="3435350"/>
          <a:ext cx="4429125"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Pre-design Concept Sketch 02 2/22/22</a:t>
          </a:r>
          <a:endParaRPr sz="1400"/>
        </a:p>
        <a:p>
          <a:pPr marL="0" lvl="0" indent="0" algn="ctr" rtl="0">
            <a:spcBef>
              <a:spcPts val="0"/>
            </a:spcBef>
            <a:spcAft>
              <a:spcPts val="0"/>
            </a:spcAft>
            <a:buNone/>
          </a:pPr>
          <a:endParaRPr sz="1100" b="1">
            <a:solidFill>
              <a:schemeClr val="lt1"/>
            </a:solidFill>
          </a:endParaRPr>
        </a:p>
      </xdr:txBody>
    </xdr:sp>
    <xdr:clientData fLocksWithSheet="0"/>
  </xdr:oneCellAnchor>
  <xdr:twoCellAnchor>
    <xdr:from>
      <xdr:col>10</xdr:col>
      <xdr:colOff>27034</xdr:colOff>
      <xdr:row>24</xdr:row>
      <xdr:rowOff>133350</xdr:rowOff>
    </xdr:from>
    <xdr:to>
      <xdr:col>16</xdr:col>
      <xdr:colOff>47625</xdr:colOff>
      <xdr:row>39</xdr:row>
      <xdr:rowOff>76200</xdr:rowOff>
    </xdr:to>
    <xdr:pic>
      <xdr:nvPicPr>
        <xdr:cNvPr id="6" name="Picture 5" descr="SD Concept Sketch 12/13/22&#10;">
          <a:extLst>
            <a:ext uri="{FF2B5EF4-FFF2-40B4-BE49-F238E27FC236}">
              <a16:creationId xmlns:a16="http://schemas.microsoft.com/office/drawing/2014/main" id="{CE864537-5D27-4A0D-93C8-2B1DF25E42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123034" y="4562475"/>
          <a:ext cx="3678191" cy="26574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284663</xdr:colOff>
      <xdr:row>25</xdr:row>
      <xdr:rowOff>57150</xdr:rowOff>
    </xdr:from>
    <xdr:to>
      <xdr:col>7</xdr:col>
      <xdr:colOff>341967</xdr:colOff>
      <xdr:row>39</xdr:row>
      <xdr:rowOff>49276</xdr:rowOff>
    </xdr:to>
    <xdr:pic>
      <xdr:nvPicPr>
        <xdr:cNvPr id="7" name="Picture 6" descr="Pre-design Concept Sketch 03 2/22/22&#10;">
          <a:extLst>
            <a:ext uri="{FF2B5EF4-FFF2-40B4-BE49-F238E27FC236}">
              <a16:creationId xmlns:a16="http://schemas.microsoft.com/office/drawing/2014/main" id="{AC5AFDDD-40BC-4218-99B6-9C02217AD08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894263" y="4667250"/>
          <a:ext cx="3714904" cy="252577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oneCellAnchor>
    <xdr:from>
      <xdr:col>0</xdr:col>
      <xdr:colOff>523875</xdr:colOff>
      <xdr:row>39</xdr:row>
      <xdr:rowOff>158750</xdr:rowOff>
    </xdr:from>
    <xdr:ext cx="4429125" cy="247650"/>
    <xdr:sp macro="" textlink="">
      <xdr:nvSpPr>
        <xdr:cNvPr id="16" name="Shape 5">
          <a:extLst>
            <a:ext uri="{FF2B5EF4-FFF2-40B4-BE49-F238E27FC236}">
              <a16:creationId xmlns:a16="http://schemas.microsoft.com/office/drawing/2014/main" id="{5702CB64-207A-4F93-9918-3FB9E6E169BC}"/>
            </a:ext>
          </a:extLst>
        </xdr:cNvPr>
        <xdr:cNvSpPr txBox="1"/>
      </xdr:nvSpPr>
      <xdr:spPr>
        <a:xfrm>
          <a:off x="523875" y="7302500"/>
          <a:ext cx="4429125"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Pre-design Concept Sketch 03 2/22/22</a:t>
          </a:r>
          <a:endParaRPr sz="1100" b="1">
            <a:solidFill>
              <a:schemeClr val="lt1"/>
            </a:solidFill>
          </a:endParaRPr>
        </a:p>
      </xdr:txBody>
    </xdr:sp>
    <xdr:clientData fLocksWithSheet="0"/>
  </xdr:oneCellAnchor>
  <xdr:oneCellAnchor>
    <xdr:from>
      <xdr:col>9</xdr:col>
      <xdr:colOff>285750</xdr:colOff>
      <xdr:row>39</xdr:row>
      <xdr:rowOff>177800</xdr:rowOff>
    </xdr:from>
    <xdr:ext cx="4429125" cy="247650"/>
    <xdr:sp macro="" textlink="">
      <xdr:nvSpPr>
        <xdr:cNvPr id="17" name="Shape 6">
          <a:extLst>
            <a:ext uri="{FF2B5EF4-FFF2-40B4-BE49-F238E27FC236}">
              <a16:creationId xmlns:a16="http://schemas.microsoft.com/office/drawing/2014/main" id="{4BC6C254-B3A6-41B0-BB7A-959DD8605E83}"/>
            </a:ext>
          </a:extLst>
        </xdr:cNvPr>
        <xdr:cNvSpPr txBox="1"/>
      </xdr:nvSpPr>
      <xdr:spPr>
        <a:xfrm>
          <a:off x="5772150" y="7321550"/>
          <a:ext cx="4429125"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SD Concept Sketch 12/13/22</a:t>
          </a:r>
          <a:endParaRPr sz="1400"/>
        </a:p>
      </xdr:txBody>
    </xdr:sp>
    <xdr:clientData fLocksWithSheet="0"/>
  </xdr:oneCellAnchor>
  <xdr:twoCellAnchor>
    <xdr:from>
      <xdr:col>9</xdr:col>
      <xdr:colOff>608783</xdr:colOff>
      <xdr:row>47</xdr:row>
      <xdr:rowOff>38100</xdr:rowOff>
    </xdr:from>
    <xdr:to>
      <xdr:col>15</xdr:col>
      <xdr:colOff>345258</xdr:colOff>
      <xdr:row>61</xdr:row>
      <xdr:rowOff>161925</xdr:rowOff>
    </xdr:to>
    <xdr:pic>
      <xdr:nvPicPr>
        <xdr:cNvPr id="8" name="Picture 7" descr="SDSD Concept Sketch 12/13/22&#10;">
          <a:extLst>
            <a:ext uri="{FF2B5EF4-FFF2-40B4-BE49-F238E27FC236}">
              <a16:creationId xmlns:a16="http://schemas.microsoft.com/office/drawing/2014/main" id="{9703EBE5-5E6A-4C38-B58E-F5A2CDF3BE2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6095183" y="8629650"/>
          <a:ext cx="3394075" cy="265747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287231</xdr:colOff>
      <xdr:row>47</xdr:row>
      <xdr:rowOff>104775</xdr:rowOff>
    </xdr:from>
    <xdr:to>
      <xdr:col>7</xdr:col>
      <xdr:colOff>19110</xdr:colOff>
      <xdr:row>62</xdr:row>
      <xdr:rowOff>44450</xdr:rowOff>
    </xdr:to>
    <xdr:pic>
      <xdr:nvPicPr>
        <xdr:cNvPr id="9" name="Picture 8" descr="SD Concept Sketch 12/13/22&#10;">
          <a:extLst>
            <a:ext uri="{FF2B5EF4-FFF2-40B4-BE49-F238E27FC236}">
              <a16:creationId xmlns:a16="http://schemas.microsoft.com/office/drawing/2014/main" id="{F0377AFE-1A12-4471-9530-3E8DB2F9188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896831" y="8696325"/>
          <a:ext cx="3389479" cy="265430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oneCellAnchor>
    <xdr:from>
      <xdr:col>0</xdr:col>
      <xdr:colOff>495301</xdr:colOff>
      <xdr:row>63</xdr:row>
      <xdr:rowOff>15875</xdr:rowOff>
    </xdr:from>
    <xdr:ext cx="4019550" cy="247650"/>
    <xdr:sp macro="" textlink="">
      <xdr:nvSpPr>
        <xdr:cNvPr id="18" name="Shape 7">
          <a:extLst>
            <a:ext uri="{FF2B5EF4-FFF2-40B4-BE49-F238E27FC236}">
              <a16:creationId xmlns:a16="http://schemas.microsoft.com/office/drawing/2014/main" id="{342A200A-2A9E-4BE5-AE41-8DBE0DD6CE0E}"/>
            </a:ext>
          </a:extLst>
        </xdr:cNvPr>
        <xdr:cNvSpPr txBox="1"/>
      </xdr:nvSpPr>
      <xdr:spPr>
        <a:xfrm>
          <a:off x="495301" y="11503025"/>
          <a:ext cx="4019550" cy="247650"/>
        </a:xfrm>
        <a:prstGeom prst="rect">
          <a:avLst/>
        </a:prstGeom>
        <a:solidFill>
          <a:schemeClr val="dk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lt1"/>
              </a:solidFill>
              <a:latin typeface="Calibri"/>
              <a:ea typeface="Calibri"/>
              <a:cs typeface="Calibri"/>
              <a:sym typeface="Calibri"/>
            </a:rPr>
            <a:t>SD Concept Sketch 12/13/22</a:t>
          </a:r>
          <a:endParaRPr sz="1100" b="1">
            <a:solidFill>
              <a:schemeClr val="lt1"/>
            </a:solidFill>
          </a:endParaRPr>
        </a:p>
        <a:p>
          <a:pPr marL="0" lvl="0" indent="0" algn="ctr" rtl="0">
            <a:spcBef>
              <a:spcPts val="0"/>
            </a:spcBef>
            <a:spcAft>
              <a:spcPts val="0"/>
            </a:spcAft>
            <a:buNone/>
          </a:pPr>
          <a:endParaRPr sz="1100" b="1">
            <a:solidFill>
              <a:schemeClr val="lt1"/>
            </a:solidFill>
          </a:endParaRPr>
        </a:p>
      </xdr:txBody>
    </xdr:sp>
    <xdr:clientData fLocksWithSheet="0"/>
  </xdr:oneCellAnchor>
  <xdr:oneCellAnchor>
    <xdr:from>
      <xdr:col>9</xdr:col>
      <xdr:colOff>349251</xdr:colOff>
      <xdr:row>62</xdr:row>
      <xdr:rowOff>142875</xdr:rowOff>
    </xdr:from>
    <xdr:ext cx="3937000" cy="247650"/>
    <xdr:sp macro="" textlink="">
      <xdr:nvSpPr>
        <xdr:cNvPr id="19" name="Shape 8">
          <a:extLst>
            <a:ext uri="{FF2B5EF4-FFF2-40B4-BE49-F238E27FC236}">
              <a16:creationId xmlns:a16="http://schemas.microsoft.com/office/drawing/2014/main" id="{36B0DCB3-A082-4175-8CCA-089751251CC6}"/>
            </a:ext>
          </a:extLst>
        </xdr:cNvPr>
        <xdr:cNvSpPr txBox="1"/>
      </xdr:nvSpPr>
      <xdr:spPr>
        <a:xfrm>
          <a:off x="5835651" y="11449050"/>
          <a:ext cx="3937000" cy="247650"/>
        </a:xfrm>
        <a:prstGeom prst="rect">
          <a:avLst/>
        </a:prstGeom>
        <a:solidFill>
          <a:schemeClr val="dk1"/>
        </a:solidFill>
        <a:ln>
          <a:noFill/>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FFFFFF"/>
            </a:buClr>
            <a:buSzPts val="1100"/>
            <a:buFont typeface="Calibri"/>
            <a:buNone/>
          </a:pPr>
          <a:r>
            <a:rPr lang="en-US" sz="1100" b="1">
              <a:solidFill>
                <a:srgbClr val="FFFFFF"/>
              </a:solidFill>
              <a:latin typeface="Calibri"/>
              <a:ea typeface="Calibri"/>
              <a:cs typeface="Calibri"/>
              <a:sym typeface="Calibri"/>
            </a:rPr>
            <a:t>SD</a:t>
          </a:r>
          <a:r>
            <a:rPr lang="en-US" sz="1100" b="1" i="0" u="none" strike="noStrike" cap="none">
              <a:solidFill>
                <a:srgbClr val="FFFFFF"/>
              </a:solidFill>
              <a:latin typeface="Calibri"/>
              <a:ea typeface="Calibri"/>
              <a:cs typeface="Calibri"/>
              <a:sym typeface="Calibri"/>
            </a:rPr>
            <a:t>SD Concept Sketch 12/13/22</a:t>
          </a:r>
          <a:endParaRPr sz="1400"/>
        </a:p>
        <a:p>
          <a:pPr marL="0" lvl="0" indent="0" algn="l" rtl="0">
            <a:spcBef>
              <a:spcPts val="0"/>
            </a:spcBef>
            <a:spcAft>
              <a:spcPts val="0"/>
            </a:spcAft>
            <a:buNone/>
          </a:pPr>
          <a:endParaRPr sz="1100">
            <a:solidFill>
              <a:srgbClr val="FFFFFF"/>
            </a:solidFill>
          </a:endParaRPr>
        </a:p>
        <a:p>
          <a:pPr marL="0" lvl="0" indent="0" algn="ctr" rtl="0">
            <a:spcBef>
              <a:spcPts val="0"/>
            </a:spcBef>
            <a:spcAft>
              <a:spcPts val="0"/>
            </a:spcAft>
            <a:buNone/>
          </a:pPr>
          <a:endParaRPr sz="1100" b="1">
            <a:solidFill>
              <a:srgbClr val="FFFFFF"/>
            </a:solidFil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188588</xdr:colOff>
      <xdr:row>24</xdr:row>
      <xdr:rowOff>57150</xdr:rowOff>
    </xdr:from>
    <xdr:to>
      <xdr:col>8</xdr:col>
      <xdr:colOff>248695</xdr:colOff>
      <xdr:row>38</xdr:row>
      <xdr:rowOff>162582</xdr:rowOff>
    </xdr:to>
    <xdr:pic>
      <xdr:nvPicPr>
        <xdr:cNvPr id="12" name="Picture 11" descr="Construction Winter 2025">
          <a:extLst>
            <a:ext uri="{FF2B5EF4-FFF2-40B4-BE49-F238E27FC236}">
              <a16:creationId xmlns:a16="http://schemas.microsoft.com/office/drawing/2014/main" id="{76935D3C-9A4A-4D9F-884F-E1B037EB96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07788" y="4486275"/>
          <a:ext cx="3717707"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435551</xdr:colOff>
      <xdr:row>24</xdr:row>
      <xdr:rowOff>76200</xdr:rowOff>
    </xdr:from>
    <xdr:to>
      <xdr:col>16</xdr:col>
      <xdr:colOff>497032</xdr:colOff>
      <xdr:row>39</xdr:row>
      <xdr:rowOff>657</xdr:rowOff>
    </xdr:to>
    <xdr:pic>
      <xdr:nvPicPr>
        <xdr:cNvPr id="14" name="Picture 13" descr="Construction Winter 2025">
          <a:extLst>
            <a:ext uri="{FF2B5EF4-FFF2-40B4-BE49-F238E27FC236}">
              <a16:creationId xmlns:a16="http://schemas.microsoft.com/office/drawing/2014/main" id="{9365BF47-8854-4E47-B8F8-93A098CA9B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1551" y="4505325"/>
          <a:ext cx="3719081"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66675</xdr:colOff>
      <xdr:row>62</xdr:row>
      <xdr:rowOff>43827</xdr:rowOff>
    </xdr:from>
    <xdr:to>
      <xdr:col>17</xdr:col>
      <xdr:colOff>161924</xdr:colOff>
      <xdr:row>63</xdr:row>
      <xdr:rowOff>91452</xdr:rowOff>
    </xdr:to>
    <xdr:sp macro="" textlink="" fLocksText="0">
      <xdr:nvSpPr>
        <xdr:cNvPr id="15" name="TextBox 14">
          <a:extLst>
            <a:ext uri="{FF2B5EF4-FFF2-40B4-BE49-F238E27FC236}">
              <a16:creationId xmlns:a16="http://schemas.microsoft.com/office/drawing/2014/main" id="{2B4933B2-045B-49AB-8352-76243A6CBD0C}"/>
            </a:ext>
          </a:extLst>
        </xdr:cNvPr>
        <xdr:cNvSpPr txBox="1"/>
      </xdr:nvSpPr>
      <xdr:spPr>
        <a:xfrm>
          <a:off x="6162675" y="11931027"/>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Right-click</a:t>
          </a:r>
          <a:r>
            <a:rPr lang="en-US" sz="1100" b="1" baseline="0">
              <a:solidFill>
                <a:schemeClr val="bg1"/>
              </a:solidFill>
            </a:rPr>
            <a:t> on picture above to change picture to photos of the project.</a:t>
          </a:r>
        </a:p>
        <a:p>
          <a:pPr algn="ctr"/>
          <a:endParaRPr lang="en-US" sz="1100" b="1">
            <a:solidFill>
              <a:schemeClr val="bg1"/>
            </a:solidFill>
          </a:endParaRPr>
        </a:p>
      </xdr:txBody>
    </xdr:sp>
    <xdr:clientData fLocksWithSheet="0"/>
  </xdr:twoCellAnchor>
  <xdr:twoCellAnchor>
    <xdr:from>
      <xdr:col>10</xdr:col>
      <xdr:colOff>352425</xdr:colOff>
      <xdr:row>6</xdr:row>
      <xdr:rowOff>95249</xdr:rowOff>
    </xdr:from>
    <xdr:to>
      <xdr:col>16</xdr:col>
      <xdr:colOff>407556</xdr:colOff>
      <xdr:row>17</xdr:row>
      <xdr:rowOff>92733</xdr:rowOff>
    </xdr:to>
    <xdr:pic>
      <xdr:nvPicPr>
        <xdr:cNvPr id="2" name="Picture 1" descr="Construction Winter 2025">
          <a:extLst>
            <a:ext uri="{FF2B5EF4-FFF2-40B4-BE49-F238E27FC236}">
              <a16:creationId xmlns:a16="http://schemas.microsoft.com/office/drawing/2014/main" id="{63A59E26-08C3-456D-8448-05E752F6024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448425" y="1266824"/>
          <a:ext cx="3712731" cy="198820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220340</xdr:colOff>
      <xdr:row>6</xdr:row>
      <xdr:rowOff>123825</xdr:rowOff>
    </xdr:from>
    <xdr:to>
      <xdr:col>8</xdr:col>
      <xdr:colOff>266591</xdr:colOff>
      <xdr:row>17</xdr:row>
      <xdr:rowOff>124484</xdr:rowOff>
    </xdr:to>
    <xdr:pic>
      <xdr:nvPicPr>
        <xdr:cNvPr id="3" name="Picture 2" descr="Construction Winter 2025">
          <a:extLst>
            <a:ext uri="{FF2B5EF4-FFF2-40B4-BE49-F238E27FC236}">
              <a16:creationId xmlns:a16="http://schemas.microsoft.com/office/drawing/2014/main" id="{BD42DCFC-AC29-45C9-A5C4-21CBF23E776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439540" y="1295400"/>
          <a:ext cx="3703851" cy="199138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8.54296875" customWidth="1"/>
    <col min="9" max="9" width="14.54296875" customWidth="1"/>
    <col min="10" max="10" width="1.54296875" customWidth="1"/>
  </cols>
  <sheetData>
    <row r="1" spans="1:10" ht="21.5" thickTop="1" x14ac:dyDescent="0.5">
      <c r="A1" s="51"/>
      <c r="B1" s="131" t="s">
        <v>0</v>
      </c>
      <c r="C1" s="131"/>
      <c r="D1" s="131"/>
      <c r="E1" s="131"/>
      <c r="F1" s="131"/>
      <c r="G1" s="131"/>
      <c r="H1" s="131"/>
      <c r="I1" s="131"/>
      <c r="J1" s="52"/>
    </row>
    <row r="2" spans="1:10" x14ac:dyDescent="0.35">
      <c r="A2" s="53"/>
      <c r="B2" s="97"/>
      <c r="C2" s="97"/>
      <c r="D2" s="97"/>
      <c r="E2" s="97" t="s">
        <v>1</v>
      </c>
      <c r="F2" s="97"/>
      <c r="G2" s="97"/>
      <c r="H2" s="97"/>
      <c r="I2" s="97"/>
      <c r="J2" s="54"/>
    </row>
    <row r="3" spans="1:10" ht="21" x14ac:dyDescent="0.5">
      <c r="A3" s="53"/>
      <c r="B3" s="132" t="s">
        <v>2</v>
      </c>
      <c r="C3" s="132"/>
      <c r="D3" s="132"/>
      <c r="E3" s="132"/>
      <c r="F3" s="132"/>
      <c r="G3" s="132"/>
      <c r="H3" s="132"/>
      <c r="I3" s="132"/>
      <c r="J3" s="98"/>
    </row>
    <row r="4" spans="1:10" ht="21" customHeight="1" x14ac:dyDescent="0.5">
      <c r="A4" s="55"/>
      <c r="B4" s="130" t="s">
        <v>185</v>
      </c>
      <c r="C4" s="130"/>
      <c r="D4" s="130"/>
      <c r="E4" s="130"/>
      <c r="F4" s="130"/>
      <c r="G4" s="130"/>
      <c r="H4" s="130"/>
      <c r="I4" s="130"/>
      <c r="J4" s="99"/>
    </row>
    <row r="5" spans="1:10" s="1" customFormat="1" x14ac:dyDescent="0.35">
      <c r="A5" s="56"/>
      <c r="B5" t="s">
        <v>4</v>
      </c>
      <c r="C5" s="164">
        <v>699</v>
      </c>
      <c r="D5" s="165"/>
      <c r="E5" s="165"/>
      <c r="F5" s="165"/>
      <c r="G5" s="165"/>
      <c r="H5" s="166"/>
      <c r="J5" s="57"/>
    </row>
    <row r="6" spans="1:10" s="1" customFormat="1" x14ac:dyDescent="0.35">
      <c r="A6" s="56"/>
      <c r="B6" t="s">
        <v>5</v>
      </c>
      <c r="C6" s="164" t="s">
        <v>186</v>
      </c>
      <c r="D6" s="165"/>
      <c r="E6" s="165"/>
      <c r="F6" s="165"/>
      <c r="G6" s="165"/>
      <c r="H6" s="166"/>
      <c r="J6" s="57"/>
    </row>
    <row r="7" spans="1:10" s="1" customFormat="1" ht="15" thickBot="1" x14ac:dyDescent="0.4">
      <c r="A7" s="58"/>
      <c r="B7" s="59" t="s">
        <v>6</v>
      </c>
      <c r="C7" s="167">
        <v>40000106</v>
      </c>
      <c r="D7" s="168"/>
      <c r="E7" s="168"/>
      <c r="F7" s="168"/>
      <c r="G7" s="168"/>
      <c r="H7" s="169"/>
      <c r="I7" s="60"/>
      <c r="J7" s="61"/>
    </row>
    <row r="8" spans="1:10" s="1" customFormat="1" ht="10" customHeight="1" thickTop="1" x14ac:dyDescent="0.35">
      <c r="A8" s="56"/>
      <c r="B8"/>
      <c r="C8"/>
      <c r="D8" s="120"/>
      <c r="J8" s="57"/>
    </row>
    <row r="9" spans="1:10" s="1" customFormat="1" x14ac:dyDescent="0.35">
      <c r="A9" s="56"/>
      <c r="B9" s="133" t="s">
        <v>7</v>
      </c>
      <c r="C9" s="134"/>
      <c r="D9" s="134"/>
      <c r="E9" s="134"/>
      <c r="F9" s="134"/>
      <c r="G9" s="134"/>
      <c r="H9" s="134"/>
      <c r="I9" s="135"/>
      <c r="J9" s="57"/>
    </row>
    <row r="10" spans="1:10" s="1" customFormat="1" x14ac:dyDescent="0.35">
      <c r="A10" s="56"/>
      <c r="B10" s="15" t="s">
        <v>8</v>
      </c>
      <c r="C10" s="164" t="s">
        <v>187</v>
      </c>
      <c r="D10" s="165"/>
      <c r="E10" s="165"/>
      <c r="F10" s="165"/>
      <c r="G10" s="165"/>
      <c r="H10" s="166"/>
      <c r="I10" s="62"/>
      <c r="J10" s="57"/>
    </row>
    <row r="11" spans="1:10" s="1" customFormat="1" x14ac:dyDescent="0.35">
      <c r="A11" s="56"/>
      <c r="B11" s="15" t="s">
        <v>9</v>
      </c>
      <c r="C11" s="184" t="s">
        <v>188</v>
      </c>
      <c r="D11" s="185"/>
      <c r="E11" s="185"/>
      <c r="F11" s="185"/>
      <c r="G11" s="185"/>
      <c r="H11" s="186"/>
      <c r="I11" s="62"/>
      <c r="J11" s="57"/>
    </row>
    <row r="12" spans="1:10" s="1" customFormat="1" x14ac:dyDescent="0.35">
      <c r="A12" s="56"/>
      <c r="B12" s="18" t="s">
        <v>10</v>
      </c>
      <c r="C12" s="187" t="s">
        <v>189</v>
      </c>
      <c r="D12" s="188"/>
      <c r="E12" s="188"/>
      <c r="F12" s="188"/>
      <c r="G12" s="188"/>
      <c r="H12" s="189"/>
      <c r="I12" s="63"/>
      <c r="J12" s="57"/>
    </row>
    <row r="13" spans="1:10" ht="10" customHeight="1" thickBot="1" x14ac:dyDescent="0.4">
      <c r="A13" s="53"/>
      <c r="D13" s="64"/>
      <c r="J13" s="54"/>
    </row>
    <row r="14" spans="1:10" s="65" customFormat="1" ht="27" customHeight="1" thickTop="1" thickBot="1" x14ac:dyDescent="0.4">
      <c r="A14" s="136" t="s">
        <v>11</v>
      </c>
      <c r="B14" s="137"/>
      <c r="C14" s="137"/>
      <c r="D14" s="137"/>
      <c r="E14" s="137"/>
      <c r="F14" s="137"/>
      <c r="G14" s="137"/>
      <c r="H14" s="137"/>
      <c r="I14" s="137"/>
      <c r="J14" s="138"/>
    </row>
    <row r="15" spans="1:10" ht="10" customHeight="1" thickTop="1" x14ac:dyDescent="0.35">
      <c r="A15" s="53"/>
      <c r="D15" s="64"/>
      <c r="J15" s="54"/>
    </row>
    <row r="16" spans="1:10" ht="58" x14ac:dyDescent="0.35">
      <c r="A16" s="53"/>
      <c r="B16" s="214" t="s">
        <v>203</v>
      </c>
      <c r="C16" s="211" t="s">
        <v>190</v>
      </c>
      <c r="D16" s="212"/>
      <c r="E16" s="212"/>
      <c r="F16" s="212"/>
      <c r="G16" s="212"/>
      <c r="H16" s="212"/>
      <c r="I16" s="213"/>
      <c r="J16" s="54"/>
    </row>
    <row r="17" spans="1:10" ht="6" customHeight="1" x14ac:dyDescent="0.35">
      <c r="A17" s="53"/>
      <c r="B17" s="154"/>
      <c r="C17" s="205"/>
      <c r="D17" s="206"/>
      <c r="E17" s="206"/>
      <c r="F17" s="206"/>
      <c r="G17" s="206"/>
      <c r="H17" s="206"/>
      <c r="I17" s="207"/>
      <c r="J17" s="54"/>
    </row>
    <row r="18" spans="1:10" ht="6" customHeight="1" x14ac:dyDescent="0.35">
      <c r="A18" s="53"/>
      <c r="B18" s="154"/>
      <c r="C18" s="205"/>
      <c r="D18" s="206"/>
      <c r="E18" s="206"/>
      <c r="F18" s="206"/>
      <c r="G18" s="206"/>
      <c r="H18" s="206"/>
      <c r="I18" s="207"/>
      <c r="J18" s="54"/>
    </row>
    <row r="19" spans="1:10" ht="6" customHeight="1" x14ac:dyDescent="0.35">
      <c r="A19" s="53"/>
      <c r="B19" s="154"/>
      <c r="C19" s="208"/>
      <c r="D19" s="209"/>
      <c r="E19" s="209"/>
      <c r="F19" s="209"/>
      <c r="G19" s="209"/>
      <c r="H19" s="209"/>
      <c r="I19" s="210"/>
      <c r="J19" s="54"/>
    </row>
    <row r="20" spans="1:10" ht="10" customHeight="1" x14ac:dyDescent="0.35">
      <c r="A20" s="53"/>
      <c r="B20" s="66"/>
      <c r="C20" s="67"/>
      <c r="D20" s="67"/>
      <c r="E20" s="67"/>
      <c r="F20" s="67"/>
      <c r="G20" s="67"/>
      <c r="H20" s="67"/>
      <c r="I20" s="87"/>
      <c r="J20" s="54"/>
    </row>
    <row r="21" spans="1:10" ht="114" customHeight="1" x14ac:dyDescent="0.35">
      <c r="A21" s="53"/>
      <c r="B21" s="215" t="s">
        <v>204</v>
      </c>
      <c r="C21" s="211" t="s">
        <v>191</v>
      </c>
      <c r="D21" s="212"/>
      <c r="E21" s="212"/>
      <c r="F21" s="212"/>
      <c r="G21" s="212"/>
      <c r="H21" s="212"/>
      <c r="I21" s="213"/>
      <c r="J21" s="54"/>
    </row>
    <row r="22" spans="1:10" ht="4" customHeight="1" x14ac:dyDescent="0.35">
      <c r="A22" s="53"/>
      <c r="B22" s="152"/>
      <c r="C22" s="205"/>
      <c r="D22" s="206"/>
      <c r="E22" s="206"/>
      <c r="F22" s="206"/>
      <c r="G22" s="206"/>
      <c r="H22" s="206"/>
      <c r="I22" s="207"/>
      <c r="J22" s="54"/>
    </row>
    <row r="23" spans="1:10" ht="4" customHeight="1" x14ac:dyDescent="0.35">
      <c r="A23" s="53"/>
      <c r="B23" s="152"/>
      <c r="C23" s="205"/>
      <c r="D23" s="206"/>
      <c r="E23" s="206"/>
      <c r="F23" s="206"/>
      <c r="G23" s="206"/>
      <c r="H23" s="206"/>
      <c r="I23" s="207"/>
      <c r="J23" s="54"/>
    </row>
    <row r="24" spans="1:10" ht="4" customHeight="1" x14ac:dyDescent="0.35">
      <c r="A24" s="53"/>
      <c r="B24" s="152"/>
      <c r="C24" s="205"/>
      <c r="D24" s="206"/>
      <c r="E24" s="206"/>
      <c r="F24" s="206"/>
      <c r="G24" s="206"/>
      <c r="H24" s="206"/>
      <c r="I24" s="207"/>
      <c r="J24" s="54"/>
    </row>
    <row r="25" spans="1:10" ht="4" customHeight="1" x14ac:dyDescent="0.35">
      <c r="A25" s="53"/>
      <c r="B25" s="152"/>
      <c r="C25" s="205"/>
      <c r="D25" s="206"/>
      <c r="E25" s="206"/>
      <c r="F25" s="206"/>
      <c r="G25" s="206"/>
      <c r="H25" s="206"/>
      <c r="I25" s="207"/>
      <c r="J25" s="54"/>
    </row>
    <row r="26" spans="1:10" ht="5.25" customHeight="1" x14ac:dyDescent="0.35">
      <c r="A26" s="53"/>
      <c r="B26" s="152"/>
      <c r="C26" s="205"/>
      <c r="D26" s="206"/>
      <c r="E26" s="206"/>
      <c r="F26" s="206"/>
      <c r="G26" s="206"/>
      <c r="H26" s="206"/>
      <c r="I26" s="207"/>
      <c r="J26" s="54"/>
    </row>
    <row r="27" spans="1:10" ht="5.25" customHeight="1" x14ac:dyDescent="0.35">
      <c r="A27" s="53"/>
      <c r="B27" s="153"/>
      <c r="C27" s="208"/>
      <c r="D27" s="209"/>
      <c r="E27" s="209"/>
      <c r="F27" s="209"/>
      <c r="G27" s="209"/>
      <c r="H27" s="209"/>
      <c r="I27" s="210"/>
      <c r="J27" s="54"/>
    </row>
    <row r="28" spans="1:10" ht="10" customHeight="1" x14ac:dyDescent="0.35">
      <c r="A28" s="53"/>
      <c r="D28" s="64"/>
      <c r="J28" s="54"/>
    </row>
    <row r="29" spans="1:10" s="1" customFormat="1" x14ac:dyDescent="0.35">
      <c r="A29" s="56"/>
      <c r="B29" s="133" t="s">
        <v>12</v>
      </c>
      <c r="C29" s="134"/>
      <c r="D29" s="134"/>
      <c r="E29" s="134"/>
      <c r="F29" s="134"/>
      <c r="G29" s="134"/>
      <c r="H29" s="134"/>
      <c r="I29" s="135"/>
      <c r="J29" s="57"/>
    </row>
    <row r="30" spans="1:10" ht="15" customHeight="1" x14ac:dyDescent="0.35">
      <c r="A30" s="53"/>
      <c r="B30" s="68"/>
      <c r="C30" s="139" t="s">
        <v>13</v>
      </c>
      <c r="D30" s="140"/>
      <c r="E30" s="140"/>
      <c r="F30" s="140"/>
      <c r="G30" s="141"/>
      <c r="H30" s="141"/>
      <c r="I30" s="155"/>
      <c r="J30" s="54"/>
    </row>
    <row r="31" spans="1:10" ht="15" customHeight="1" thickBot="1" x14ac:dyDescent="0.4">
      <c r="A31" s="53"/>
      <c r="B31" s="68"/>
      <c r="C31" s="139" t="s">
        <v>14</v>
      </c>
      <c r="D31" s="142"/>
      <c r="E31" s="139" t="s">
        <v>15</v>
      </c>
      <c r="F31" s="140"/>
      <c r="G31" s="140"/>
      <c r="H31" s="13"/>
      <c r="I31" s="156"/>
      <c r="J31" s="54"/>
    </row>
    <row r="32" spans="1:10" s="1" customFormat="1" ht="29" x14ac:dyDescent="0.35">
      <c r="A32" s="56"/>
      <c r="B32" s="10" t="s">
        <v>18</v>
      </c>
      <c r="C32" s="69" t="s">
        <v>19</v>
      </c>
      <c r="D32" s="4" t="s">
        <v>20</v>
      </c>
      <c r="E32" s="4" t="s">
        <v>21</v>
      </c>
      <c r="F32" s="4" t="s">
        <v>22</v>
      </c>
      <c r="G32" s="5" t="s">
        <v>23</v>
      </c>
      <c r="H32" s="125" t="s">
        <v>16</v>
      </c>
      <c r="I32" s="126" t="s">
        <v>17</v>
      </c>
      <c r="J32" s="57"/>
    </row>
    <row r="33" spans="1:10" x14ac:dyDescent="0.35">
      <c r="A33" s="53"/>
      <c r="B33" s="6" t="s">
        <v>24</v>
      </c>
      <c r="C33" s="45">
        <f>SUM(C34:C37)</f>
        <v>0</v>
      </c>
      <c r="D33" s="45">
        <f>SUM(D34:D37)</f>
        <v>0</v>
      </c>
      <c r="E33" s="45">
        <f>SUM(E34:E37)</f>
        <v>0</v>
      </c>
      <c r="F33" s="45">
        <f>SUM(F34:F37)</f>
        <v>0</v>
      </c>
      <c r="G33" s="46">
        <f>SUM(G34:G37)</f>
        <v>0</v>
      </c>
      <c r="H33" s="47">
        <f t="shared" ref="H33:H48" si="0">SUM(C33:G33)</f>
        <v>0</v>
      </c>
      <c r="I33" s="7"/>
      <c r="J33" s="54"/>
    </row>
    <row r="34" spans="1:10" x14ac:dyDescent="0.35">
      <c r="A34" s="53"/>
      <c r="B34" s="8" t="s">
        <v>198</v>
      </c>
      <c r="C34" s="100"/>
      <c r="D34" s="101"/>
      <c r="E34" s="101"/>
      <c r="F34" s="101"/>
      <c r="G34" s="102"/>
      <c r="H34" s="9">
        <f t="shared" si="0"/>
        <v>0</v>
      </c>
      <c r="I34" s="103"/>
      <c r="J34" s="54"/>
    </row>
    <row r="35" spans="1:10" x14ac:dyDescent="0.35">
      <c r="A35" s="53"/>
      <c r="B35" s="96" t="s">
        <v>25</v>
      </c>
      <c r="C35" s="100"/>
      <c r="D35" s="101"/>
      <c r="E35" s="101"/>
      <c r="F35" s="101"/>
      <c r="G35" s="102"/>
      <c r="H35" s="9">
        <f t="shared" si="0"/>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2585060</v>
      </c>
      <c r="D38" s="45">
        <f>SUM(D39:D42)</f>
        <v>620940</v>
      </c>
      <c r="E38" s="45">
        <f>SUM(E39:E42)</f>
        <v>0</v>
      </c>
      <c r="F38" s="45">
        <f>SUM(F39:F42)</f>
        <v>0</v>
      </c>
      <c r="G38" s="46">
        <f>SUM(G39:G42)</f>
        <v>0</v>
      </c>
      <c r="H38" s="47">
        <f t="shared" si="0"/>
        <v>3206000</v>
      </c>
      <c r="I38" s="7"/>
      <c r="J38" s="54"/>
    </row>
    <row r="39" spans="1:10" x14ac:dyDescent="0.35">
      <c r="A39" s="53"/>
      <c r="B39" s="8" t="s">
        <v>198</v>
      </c>
      <c r="C39" s="100">
        <v>2585060</v>
      </c>
      <c r="D39" s="101">
        <f>607522+13418</f>
        <v>620940</v>
      </c>
      <c r="E39" s="101"/>
      <c r="F39" s="101"/>
      <c r="G39" s="102"/>
      <c r="H39" s="9">
        <f t="shared" si="0"/>
        <v>3206000</v>
      </c>
      <c r="I39" s="103" t="s">
        <v>192</v>
      </c>
      <c r="J39" s="54"/>
    </row>
    <row r="40" spans="1:10" x14ac:dyDescent="0.35">
      <c r="A40" s="53"/>
      <c r="B40" s="96" t="s">
        <v>25</v>
      </c>
      <c r="C40" s="100"/>
      <c r="D40" s="101"/>
      <c r="E40" s="101"/>
      <c r="F40" s="101"/>
      <c r="G40" s="102"/>
      <c r="H40" s="9">
        <f t="shared" si="0"/>
        <v>0</v>
      </c>
      <c r="I40" s="103"/>
      <c r="J40" s="54"/>
    </row>
    <row r="41" spans="1:10" x14ac:dyDescent="0.35">
      <c r="A41" s="53"/>
      <c r="B41" s="96" t="s">
        <v>26</v>
      </c>
      <c r="C41" s="100"/>
      <c r="D41" s="101"/>
      <c r="E41" s="101"/>
      <c r="F41" s="101"/>
      <c r="G41" s="102"/>
      <c r="H41" s="9">
        <f t="shared" si="0"/>
        <v>0</v>
      </c>
      <c r="I41" s="103"/>
      <c r="J41" s="54"/>
    </row>
    <row r="42" spans="1:10" x14ac:dyDescent="0.35">
      <c r="A42" s="53"/>
      <c r="B42" s="95" t="s">
        <v>27</v>
      </c>
      <c r="C42" s="100"/>
      <c r="D42" s="101"/>
      <c r="E42" s="101"/>
      <c r="F42" s="101"/>
      <c r="G42" s="102"/>
      <c r="H42" s="9">
        <f t="shared" si="0"/>
        <v>0</v>
      </c>
      <c r="I42" s="103"/>
      <c r="J42" s="54"/>
    </row>
    <row r="43" spans="1:10" x14ac:dyDescent="0.35">
      <c r="A43" s="53"/>
      <c r="B43" s="6" t="s">
        <v>29</v>
      </c>
      <c r="C43" s="45">
        <f>SUM(C44:C47)</f>
        <v>0</v>
      </c>
      <c r="D43" s="45">
        <f>SUM(D44:D47)</f>
        <v>907200.47</v>
      </c>
      <c r="E43" s="45">
        <f>SUM(E44:E47)</f>
        <v>37460234.530000001</v>
      </c>
      <c r="F43" s="45">
        <f>SUM(F44:F47)</f>
        <v>6828565</v>
      </c>
      <c r="G43" s="46">
        <f>SUM(G44:G47)</f>
        <v>0</v>
      </c>
      <c r="H43" s="47">
        <f t="shared" si="0"/>
        <v>45196000</v>
      </c>
      <c r="I43" s="7"/>
      <c r="J43" s="54"/>
    </row>
    <row r="44" spans="1:10" x14ac:dyDescent="0.35">
      <c r="A44" s="53"/>
      <c r="B44" s="8" t="s">
        <v>198</v>
      </c>
      <c r="C44" s="100"/>
      <c r="D44" s="101">
        <f>888694.15+18506.32</f>
        <v>907200.47</v>
      </c>
      <c r="E44" s="101">
        <v>37460234.530000001</v>
      </c>
      <c r="F44" s="101">
        <f>3945936+1275000+1607629</f>
        <v>6828565</v>
      </c>
      <c r="G44" s="102"/>
      <c r="H44" s="9">
        <f t="shared" si="0"/>
        <v>45196000</v>
      </c>
      <c r="I44" s="103" t="s">
        <v>193</v>
      </c>
      <c r="J44" s="54"/>
    </row>
    <row r="45" spans="1:10" x14ac:dyDescent="0.35">
      <c r="A45" s="53"/>
      <c r="B45" s="96" t="s">
        <v>25</v>
      </c>
      <c r="C45" s="100"/>
      <c r="D45" s="101"/>
      <c r="E45" s="101"/>
      <c r="F45" s="101"/>
      <c r="G45" s="102"/>
      <c r="H45" s="9">
        <f t="shared" si="0"/>
        <v>0</v>
      </c>
      <c r="I45" s="103"/>
      <c r="J45" s="54"/>
    </row>
    <row r="46" spans="1:10" x14ac:dyDescent="0.35">
      <c r="A46" s="53"/>
      <c r="B46" s="96" t="s">
        <v>26</v>
      </c>
      <c r="C46" s="100"/>
      <c r="D46" s="101"/>
      <c r="E46" s="101"/>
      <c r="F46" s="101"/>
      <c r="G46" s="102"/>
      <c r="H46" s="9">
        <f t="shared" si="0"/>
        <v>0</v>
      </c>
      <c r="I46" s="103"/>
      <c r="J46" s="54"/>
    </row>
    <row r="47" spans="1:10" x14ac:dyDescent="0.35">
      <c r="A47" s="53"/>
      <c r="B47" s="95" t="s">
        <v>27</v>
      </c>
      <c r="C47" s="100"/>
      <c r="D47" s="101"/>
      <c r="E47" s="101"/>
      <c r="F47" s="101"/>
      <c r="G47" s="102"/>
      <c r="H47" s="9">
        <f t="shared" si="0"/>
        <v>0</v>
      </c>
      <c r="I47" s="103"/>
      <c r="J47" s="54"/>
    </row>
    <row r="48" spans="1:10" s="1" customFormat="1" ht="15" thickBot="1" x14ac:dyDescent="0.4">
      <c r="A48" s="56"/>
      <c r="B48" s="10" t="s">
        <v>30</v>
      </c>
      <c r="C48" s="48">
        <f>C33+C38+C43</f>
        <v>2585060</v>
      </c>
      <c r="D48" s="48">
        <f>D33+D38+D43</f>
        <v>1528140.47</v>
      </c>
      <c r="E48" s="48">
        <f>E33+E38+E43</f>
        <v>37460234.530000001</v>
      </c>
      <c r="F48" s="48">
        <f>F33+F38+F43</f>
        <v>6828565</v>
      </c>
      <c r="G48" s="49">
        <f>G33+G38+G43</f>
        <v>0</v>
      </c>
      <c r="H48" s="50">
        <f t="shared" si="0"/>
        <v>48402000</v>
      </c>
      <c r="I48" s="7"/>
      <c r="J48" s="57"/>
    </row>
    <row r="49" spans="1:10" s="1" customFormat="1" ht="10" customHeight="1" x14ac:dyDescent="0.35">
      <c r="A49" s="56"/>
      <c r="C49" s="70"/>
      <c r="D49" s="70"/>
      <c r="J49" s="57"/>
    </row>
    <row r="50" spans="1:10" s="1" customFormat="1" x14ac:dyDescent="0.35">
      <c r="A50" s="56"/>
      <c r="B50" s="143" t="s">
        <v>31</v>
      </c>
      <c r="C50" s="144"/>
      <c r="D50" s="144"/>
      <c r="E50" s="144"/>
      <c r="F50" s="144"/>
      <c r="G50" s="144"/>
      <c r="H50" s="144"/>
      <c r="I50" s="145"/>
      <c r="J50" s="57"/>
    </row>
    <row r="51" spans="1:10" x14ac:dyDescent="0.35">
      <c r="A51" s="53"/>
      <c r="B51" s="71" t="s">
        <v>32</v>
      </c>
      <c r="C51" s="193" t="s">
        <v>114</v>
      </c>
      <c r="D51" s="193"/>
      <c r="E51" s="192" t="s">
        <v>33</v>
      </c>
      <c r="F51" s="192"/>
      <c r="G51" s="190" t="s">
        <v>93</v>
      </c>
      <c r="H51" s="190"/>
      <c r="I51" s="16"/>
      <c r="J51" s="54"/>
    </row>
    <row r="52" spans="1:10" x14ac:dyDescent="0.35">
      <c r="A52" s="53"/>
      <c r="B52" s="15" t="s">
        <v>199</v>
      </c>
      <c r="C52" s="194">
        <v>0</v>
      </c>
      <c r="D52" s="195"/>
      <c r="E52" t="s">
        <v>34</v>
      </c>
      <c r="G52" s="191" t="s">
        <v>92</v>
      </c>
      <c r="H52" s="191"/>
      <c r="I52" s="16"/>
      <c r="J52" s="54"/>
    </row>
    <row r="53" spans="1:10" x14ac:dyDescent="0.35">
      <c r="A53" s="53"/>
      <c r="B53" s="18" t="s">
        <v>35</v>
      </c>
      <c r="C53" s="191" t="s">
        <v>95</v>
      </c>
      <c r="D53" s="191"/>
      <c r="E53" s="19" t="s">
        <v>36</v>
      </c>
      <c r="F53" s="19"/>
      <c r="G53" s="191" t="s">
        <v>92</v>
      </c>
      <c r="H53" s="191"/>
      <c r="I53" s="20"/>
      <c r="J53" s="54"/>
    </row>
    <row r="54" spans="1:10" ht="10" customHeight="1" x14ac:dyDescent="0.35">
      <c r="A54" s="53"/>
      <c r="J54" s="54"/>
    </row>
    <row r="55" spans="1:10" x14ac:dyDescent="0.35">
      <c r="A55" s="53"/>
      <c r="B55" s="143" t="s">
        <v>37</v>
      </c>
      <c r="C55" s="144"/>
      <c r="D55" s="144"/>
      <c r="E55" s="144"/>
      <c r="F55" s="144"/>
      <c r="G55" s="144"/>
      <c r="H55" s="144"/>
      <c r="I55" s="145"/>
      <c r="J55" s="54"/>
    </row>
    <row r="56" spans="1:10" ht="75" customHeight="1" x14ac:dyDescent="0.35">
      <c r="A56" s="53"/>
      <c r="B56" s="151" t="s">
        <v>38</v>
      </c>
      <c r="C56" s="151"/>
      <c r="D56" s="151"/>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04">
        <v>46267</v>
      </c>
      <c r="F57" s="104">
        <v>50694</v>
      </c>
      <c r="G57" s="105"/>
      <c r="H57" s="89">
        <f>IF($H$56=Lists!$D$8, IFERROR(F57-E57, ""), IF($H$56=Lists!$D$9, IFERROR(G57-E57, ""), IFERROR(G57-F57, "")))</f>
        <v>-50694</v>
      </c>
      <c r="I57" s="119"/>
      <c r="J57" s="54"/>
    </row>
    <row r="58" spans="1:10" x14ac:dyDescent="0.35">
      <c r="A58" s="53"/>
      <c r="B58" s="15" t="s">
        <v>43</v>
      </c>
      <c r="D58" s="16"/>
      <c r="E58" s="104">
        <v>32590</v>
      </c>
      <c r="F58" s="104">
        <v>35689</v>
      </c>
      <c r="G58" s="105"/>
      <c r="H58" s="89">
        <f>IF($H$56=Lists!$D$8, IFERROR(F58-E58, ""), IF($H$56=Lists!$D$9, IFERROR(G58-E58, ""), IFERROR(G58-F58, "")))</f>
        <v>-35689</v>
      </c>
      <c r="I58" s="119"/>
      <c r="J58" s="54"/>
    </row>
    <row r="59" spans="1:10" x14ac:dyDescent="0.35">
      <c r="A59" s="53"/>
      <c r="B59" s="15" t="s">
        <v>44</v>
      </c>
      <c r="D59" s="16"/>
      <c r="E59" s="17">
        <f>IFERROR(E58/E57, "")</f>
        <v>0.70438973782609637</v>
      </c>
      <c r="F59" s="17">
        <f>IFERROR(F58/F57, "")</f>
        <v>0.70400836390894383</v>
      </c>
      <c r="G59" s="17" t="str">
        <f>IFERROR(G58/G57, "")</f>
        <v/>
      </c>
      <c r="H59" s="90" t="str">
        <f>IFERROR(G59-F59, "")</f>
        <v/>
      </c>
      <c r="I59" s="72"/>
      <c r="J59" s="54"/>
    </row>
    <row r="60" spans="1:10" x14ac:dyDescent="0.35">
      <c r="A60" s="53"/>
      <c r="B60" s="15" t="s">
        <v>45</v>
      </c>
      <c r="D60" s="16"/>
      <c r="E60" s="104"/>
      <c r="F60" s="104"/>
      <c r="G60" s="105"/>
      <c r="H60" s="91">
        <f>IF($H$56=Lists!$D$8, IFERROR(F60-E60, ""), IF($H$56=Lists!$D$9, IFERROR(G60-E60, ""), IFERROR(G60-F60, "")))</f>
        <v>0</v>
      </c>
      <c r="I60" s="119"/>
      <c r="J60" s="54"/>
    </row>
    <row r="61" spans="1:10" x14ac:dyDescent="0.35">
      <c r="A61" s="53"/>
      <c r="B61" s="18" t="s">
        <v>46</v>
      </c>
      <c r="C61" s="19"/>
      <c r="D61" s="20"/>
      <c r="E61" s="105">
        <v>48795</v>
      </c>
      <c r="F61" s="105">
        <v>48795</v>
      </c>
      <c r="G61" s="105"/>
      <c r="H61" s="91">
        <f>IF($H$56=Lists!$D$8, IFERROR(F61-E61, ""), IF($H$56=Lists!$D$9, IFERROR(G61-E61, ""), IFERROR(G61-F61, "")))</f>
        <v>-48795</v>
      </c>
      <c r="I61" s="118"/>
      <c r="J61" s="54"/>
    </row>
    <row r="62" spans="1:10" x14ac:dyDescent="0.35">
      <c r="A62" s="53"/>
      <c r="B62" s="15" t="s">
        <v>47</v>
      </c>
      <c r="E62" s="21">
        <f>IFERROR(E91/E57, "")</f>
        <v>593.13640391639831</v>
      </c>
      <c r="F62" s="21">
        <f>IFERROR(F91/F57, "")</f>
        <v>682.16861589931182</v>
      </c>
      <c r="G62" s="21" t="str">
        <f>IFERROR(G91/G57, "")</f>
        <v/>
      </c>
      <c r="H62" s="92" t="str">
        <f>IF($H$56=Lists!$D$8, IFERROR(F62-E62, ""), IF($H$56=Lists!$D$9, IFERROR(G62-E62, ""), IFERROR(G62-F62, "")))</f>
        <v/>
      </c>
      <c r="I62" s="73"/>
      <c r="J62" s="54"/>
    </row>
    <row r="63" spans="1:10" x14ac:dyDescent="0.35">
      <c r="A63" s="53"/>
      <c r="B63" s="18" t="s">
        <v>48</v>
      </c>
      <c r="C63" s="19"/>
      <c r="D63" s="20"/>
      <c r="E63" s="22">
        <f>IFERROR(E97/E57, "")</f>
        <v>673.35063868415932</v>
      </c>
      <c r="F63" s="22">
        <f>IFERROR(F97/F57, "")</f>
        <v>774.29657746069131</v>
      </c>
      <c r="G63" s="22" t="str">
        <f>IFERROR(G97/G57, "")</f>
        <v/>
      </c>
      <c r="H63" s="92" t="str">
        <f>IF($H$56=Lists!$D$8, IFERROR(F63-E63, ""), IF($H$56=Lists!$D$9, IFERROR(G63-E63, ""), IFERROR(G63-F63, "")))</f>
        <v/>
      </c>
      <c r="I63" s="74"/>
      <c r="J63" s="54"/>
    </row>
    <row r="64" spans="1:10" x14ac:dyDescent="0.35">
      <c r="A64" s="53"/>
      <c r="B64" s="146" t="s">
        <v>49</v>
      </c>
      <c r="C64" s="147"/>
      <c r="D64" s="147"/>
      <c r="E64" s="147"/>
      <c r="F64" s="147"/>
      <c r="G64" s="147"/>
      <c r="H64" s="147"/>
      <c r="I64" s="148"/>
      <c r="J64" s="54"/>
    </row>
    <row r="65" spans="1:10" x14ac:dyDescent="0.35">
      <c r="A65" s="53"/>
      <c r="B65" s="12" t="s">
        <v>50</v>
      </c>
      <c r="C65" s="13"/>
      <c r="D65" s="14"/>
      <c r="E65" s="106">
        <v>44677</v>
      </c>
      <c r="F65" s="106">
        <v>44470</v>
      </c>
      <c r="G65" s="107">
        <v>44677</v>
      </c>
      <c r="H65" s="89" t="str">
        <f>IF(SUM(E65:G65)=0, "", IF($H$56=Lists!$D$8, IFERROR(MROUND(CONVERT(F65-E65,"day","yr")*12, 0.5)&amp;" mo.", ""), IF($H$56=Lists!$D$9, IFERROR(MROUND(CONVERT(G65-E65,"day","yr")*12, 0.5)&amp;" mo.", ""), IFERROR(MROUND(CONVERT(G65-F65,"day","yr")*12, 0.5)&amp;" mo.", ""))))</f>
        <v>7 mo.</v>
      </c>
      <c r="I65" s="119"/>
      <c r="J65" s="54"/>
    </row>
    <row r="66" spans="1:10" x14ac:dyDescent="0.35">
      <c r="A66" s="53"/>
      <c r="B66" s="15" t="s">
        <v>51</v>
      </c>
      <c r="D66" s="16"/>
      <c r="E66" s="106">
        <v>44677</v>
      </c>
      <c r="F66" s="106">
        <v>44562</v>
      </c>
      <c r="G66" s="107">
        <v>45809</v>
      </c>
      <c r="H66" s="89" t="str">
        <f>IF(SUM(E66:G66)=0, "", IF($H$56=Lists!$D$8, IFERROR(MROUND(CONVERT(F66-E66,"day","yr")*12, 0.5)&amp;" mo.", ""), IF($H$56=Lists!$D$9, IFERROR(MROUND(CONVERT(G66-E66,"day","yr")*12, 0.5)&amp;" mo.", ""), IFERROR(MROUND(CONVERT(G66-F66,"day","yr")*12, 0.5)&amp;" mo.", ""))))</f>
        <v>41 mo.</v>
      </c>
      <c r="I66" s="119"/>
      <c r="J66" s="54"/>
    </row>
    <row r="67" spans="1:10" x14ac:dyDescent="0.35">
      <c r="A67" s="53"/>
      <c r="B67" s="15" t="s">
        <v>52</v>
      </c>
      <c r="D67" s="16"/>
      <c r="E67" s="106"/>
      <c r="F67" s="106"/>
      <c r="G67" s="107"/>
      <c r="H67" s="89" t="str">
        <f>IF(SUM(E67:G67)=0, "", IF($H$56=Lists!$D$8, IFERROR(MROUND(CONVERT(F67-E67,"day","yr")*12, 0.5)&amp;" mo.", ""), IF($H$56=Lists!$D$9, IFERROR(MROUND(CONVERT(G67-E67,"day","yr")*12, 0.5)&amp;" mo.", ""), IFERROR(MROUND(CONVERT(G67-F67,"day","yr")*12, 0.5)&amp;" mo.", ""))))</f>
        <v/>
      </c>
      <c r="I67" s="119"/>
      <c r="J67" s="54"/>
    </row>
    <row r="68" spans="1:10" x14ac:dyDescent="0.35">
      <c r="A68" s="53"/>
      <c r="B68" s="15" t="s">
        <v>53</v>
      </c>
      <c r="D68" s="16"/>
      <c r="E68" s="106">
        <v>45170</v>
      </c>
      <c r="F68" s="106">
        <v>45839</v>
      </c>
      <c r="G68" s="107"/>
      <c r="H68" s="89" t="str">
        <f>IF(SUM(E68:G68)=0, "", IF($H$56=Lists!$D$8, IFERROR(MROUND(CONVERT(F68-E68,"day","yr")*12, 0.5)&amp;" mo.", ""), IF($H$56=Lists!$D$9, IFERROR(MROUND(CONVERT(G68-E68,"day","yr")*12, 0.5)&amp;" mo.", ""), IFERROR(MROUND(CONVERT(G68-F68,"day","yr")*12, 0.5)&amp;" mo.", ""))))</f>
        <v/>
      </c>
      <c r="I68" s="119"/>
      <c r="J68" s="54"/>
    </row>
    <row r="69" spans="1:10" x14ac:dyDescent="0.35">
      <c r="A69" s="53"/>
      <c r="B69" s="15" t="s">
        <v>54</v>
      </c>
      <c r="D69" s="16"/>
      <c r="E69" s="106">
        <v>45901</v>
      </c>
      <c r="F69" s="106">
        <v>46569</v>
      </c>
      <c r="G69" s="107"/>
      <c r="H69" s="89" t="str">
        <f>IF(SUM(E69:G69)=0, "", IF($H$56=Lists!$D$8, IFERROR(MROUND(CONVERT(F69-E69,"day","yr")*12, 0.5)&amp;" mo.", ""), IF($H$56=Lists!$D$9, IFERROR(MROUND(CONVERT(G69-E69,"day","yr")*12, 0.5)&amp;" mo.", ""), IFERROR(MROUND(CONVERT(G69-F69,"day","yr")*12, 0.5)&amp;" mo.", ""))))</f>
        <v/>
      </c>
      <c r="I69" s="119"/>
      <c r="J69" s="54"/>
    </row>
    <row r="70" spans="1:10" x14ac:dyDescent="0.35">
      <c r="A70" s="53"/>
      <c r="B70" s="18" t="s">
        <v>55</v>
      </c>
      <c r="C70" s="19"/>
      <c r="D70" s="20"/>
      <c r="E70" s="106"/>
      <c r="F70" s="106"/>
      <c r="G70" s="107"/>
      <c r="H70" s="89" t="str">
        <f>IF(SUM(E70:G70)=0, "", IF($H$56=Lists!$D$8, IFERROR(MROUND(CONVERT(F70-E70,"day","yr")*12, 0.5)&amp;" mo.", ""), IF($H$56=Lists!$D$9, IFERROR(MROUND(CONVERT(G70-E70,"day","yr")*12, 0.5)&amp;" mo.", ""), IFERROR(MROUND(CONVERT(G70-F70,"day","yr")*12, 0.5)&amp;" mo.", ""))))</f>
        <v/>
      </c>
      <c r="I70" s="119"/>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6" t="s">
        <v>56</v>
      </c>
      <c r="B72" s="137"/>
      <c r="C72" s="137"/>
      <c r="D72" s="137"/>
      <c r="E72" s="137"/>
      <c r="F72" s="137"/>
      <c r="G72" s="137"/>
      <c r="H72" s="137"/>
      <c r="I72" s="137"/>
      <c r="J72" s="138"/>
    </row>
    <row r="73" spans="1:10" ht="10" customHeight="1" thickTop="1" x14ac:dyDescent="0.35">
      <c r="A73" s="53"/>
      <c r="B73" s="121"/>
      <c r="C73" s="121"/>
      <c r="D73" s="121"/>
      <c r="E73" s="26"/>
      <c r="F73" s="26"/>
      <c r="G73" s="26"/>
      <c r="H73" s="27"/>
      <c r="I73" s="78"/>
      <c r="J73" s="54"/>
    </row>
    <row r="74" spans="1:10" ht="75" customHeight="1" x14ac:dyDescent="0.35">
      <c r="A74" s="53"/>
      <c r="B74" s="151" t="s">
        <v>38</v>
      </c>
      <c r="C74" s="151"/>
      <c r="D74" s="151"/>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43" t="s">
        <v>59</v>
      </c>
      <c r="C75" s="144"/>
      <c r="D75" s="144"/>
      <c r="E75" s="144"/>
      <c r="F75" s="144"/>
      <c r="G75" s="144"/>
      <c r="H75" s="144"/>
      <c r="I75" s="145"/>
      <c r="J75" s="54"/>
    </row>
    <row r="76" spans="1:10" x14ac:dyDescent="0.35">
      <c r="A76" s="53"/>
      <c r="B76" s="160"/>
      <c r="C76" s="157"/>
      <c r="D76" s="127" t="s">
        <v>60</v>
      </c>
      <c r="E76" s="108"/>
      <c r="F76" s="108"/>
      <c r="G76" s="108"/>
      <c r="H76" s="93">
        <f>IF($H$56=Lists!$D$8, IFERROR(F76-E76, ""), IF($H$56=Lists!$D$9, IFERROR(G76-E76, ""), IFERROR(G76-F76, "")))</f>
        <v>0</v>
      </c>
      <c r="I76" s="119"/>
      <c r="J76" s="54"/>
    </row>
    <row r="77" spans="1:10" ht="10" customHeight="1" x14ac:dyDescent="0.35">
      <c r="A77" s="53"/>
      <c r="B77" s="116"/>
      <c r="C77" s="116"/>
      <c r="D77" s="116"/>
      <c r="E77" s="28"/>
      <c r="F77" s="28"/>
      <c r="G77" s="28"/>
      <c r="H77" s="29"/>
      <c r="I77" s="79"/>
      <c r="J77" s="54"/>
    </row>
    <row r="78" spans="1:10" x14ac:dyDescent="0.35">
      <c r="A78" s="53"/>
      <c r="B78" s="143" t="s">
        <v>61</v>
      </c>
      <c r="C78" s="144"/>
      <c r="D78" s="144"/>
      <c r="E78" s="144"/>
      <c r="F78" s="144"/>
      <c r="G78" s="144"/>
      <c r="H78" s="144"/>
      <c r="I78" s="145"/>
      <c r="J78" s="54"/>
    </row>
    <row r="79" spans="1:10" x14ac:dyDescent="0.35">
      <c r="A79" s="53"/>
      <c r="B79" s="12" t="s">
        <v>62</v>
      </c>
      <c r="C79" s="13"/>
      <c r="D79" s="14"/>
      <c r="E79" s="109">
        <v>220836</v>
      </c>
      <c r="F79" s="109">
        <v>220836</v>
      </c>
      <c r="G79" s="110">
        <v>217079.44</v>
      </c>
      <c r="H79" s="30">
        <f>IF($H$56=Lists!$D$8, IFERROR(F79-E79, ""), IF($H$56=Lists!$D$9, IFERROR(G79-E79, ""), IFERROR(G79-F79, "")))</f>
        <v>-3756.5599999999977</v>
      </c>
      <c r="I79" s="119" t="s">
        <v>194</v>
      </c>
      <c r="J79" s="54"/>
    </row>
    <row r="80" spans="1:10" x14ac:dyDescent="0.35">
      <c r="A80" s="53"/>
      <c r="B80" s="15" t="s">
        <v>63</v>
      </c>
      <c r="D80" s="16"/>
      <c r="E80" s="109">
        <v>1321049</v>
      </c>
      <c r="F80" s="109">
        <v>1771357.0058035541</v>
      </c>
      <c r="G80" s="110">
        <f>1580256.34+354160+976449.33</f>
        <v>2910865.67</v>
      </c>
      <c r="H80" s="30">
        <f>IF($H$56=Lists!$D$8, IFERROR(F80-E80, ""), IF($H$56=Lists!$D$9, IFERROR(G80-E80, ""), IFERROR(G80-F80, "")))</f>
        <v>1139508.6641964458</v>
      </c>
      <c r="I80" s="119" t="s">
        <v>200</v>
      </c>
      <c r="J80" s="54"/>
    </row>
    <row r="81" spans="1:10" x14ac:dyDescent="0.35">
      <c r="A81" s="53"/>
      <c r="B81" s="15" t="s">
        <v>64</v>
      </c>
      <c r="D81" s="16"/>
      <c r="E81" s="109">
        <v>1264428</v>
      </c>
      <c r="F81" s="109">
        <v>1249672</v>
      </c>
      <c r="G81" s="110">
        <f>63526.6+157143.38+194.05+149.45+550.26+7569</f>
        <v>229132.74000000002</v>
      </c>
      <c r="H81" s="30">
        <f>IF($H$56=Lists!$D$8, IFERROR(F81-E81, ""), IF($H$56=Lists!$D$9, IFERROR(G81-E81, ""), IFERROR(G81-F81, "")))</f>
        <v>-1020539.26</v>
      </c>
      <c r="I81" s="119" t="s">
        <v>196</v>
      </c>
      <c r="J81" s="54"/>
    </row>
    <row r="82" spans="1:10" x14ac:dyDescent="0.35">
      <c r="A82" s="53"/>
      <c r="B82" s="15" t="s">
        <v>65</v>
      </c>
      <c r="D82" s="16"/>
      <c r="E82" s="109">
        <v>618484.20479999995</v>
      </c>
      <c r="F82" s="109">
        <v>625676</v>
      </c>
      <c r="G82" s="109">
        <v>498593.08999999997</v>
      </c>
      <c r="H82" s="30">
        <f>IF($H$56=Lists!$D$8, IFERROR(F82-E82, ""), IF($H$56=Lists!$D$9, IFERROR(G82-E82, ""), IFERROR(G82-F82, "")))</f>
        <v>-127082.91000000003</v>
      </c>
      <c r="I82" s="119" t="s">
        <v>195</v>
      </c>
      <c r="J82" s="54"/>
    </row>
    <row r="83" spans="1:10" x14ac:dyDescent="0.35">
      <c r="A83" s="53"/>
      <c r="B83" s="15" t="s">
        <v>66</v>
      </c>
      <c r="D83" s="16"/>
      <c r="E83" s="109">
        <v>480295.79520000005</v>
      </c>
      <c r="F83" s="109">
        <v>625677</v>
      </c>
      <c r="G83" s="109">
        <v>142098</v>
      </c>
      <c r="H83" s="31">
        <f>IF($H$56=Lists!$D$8, IFERROR(F83-E83, ""), IF($H$56=Lists!$D$9, IFERROR(G83-E83, ""), IFERROR(G83-F83, "")))</f>
        <v>-483579</v>
      </c>
      <c r="I83" s="119" t="s">
        <v>197</v>
      </c>
      <c r="J83" s="54"/>
    </row>
    <row r="84" spans="1:10" x14ac:dyDescent="0.35">
      <c r="A84" s="53"/>
      <c r="B84" s="15" t="s">
        <v>67</v>
      </c>
      <c r="D84" s="16"/>
      <c r="E84" s="109">
        <v>201341</v>
      </c>
      <c r="F84" s="109">
        <v>224661</v>
      </c>
      <c r="G84" s="110"/>
      <c r="H84" s="30">
        <f>IF($H$56=Lists!$D$8, IFERROR(F84-E84, ""), IF($H$56=Lists!$D$9, IFERROR(G84-E84, ""), IFERROR(G84-F84, "")))</f>
        <v>-224661</v>
      </c>
      <c r="I84" s="111"/>
      <c r="J84" s="54"/>
    </row>
    <row r="85" spans="1:10" x14ac:dyDescent="0.35">
      <c r="A85" s="53"/>
      <c r="B85" s="18"/>
      <c r="C85" s="159"/>
      <c r="D85" s="128" t="s">
        <v>68</v>
      </c>
      <c r="E85" s="32">
        <f>SUM(E79:E84)</f>
        <v>4106434</v>
      </c>
      <c r="F85" s="32">
        <f>SUM(F79:F84)</f>
        <v>4717879.0058035543</v>
      </c>
      <c r="G85" s="32">
        <f>SUM(G79:G84)</f>
        <v>3997768.94</v>
      </c>
      <c r="H85" s="33">
        <f>IF($H$56=Lists!$D$8, IFERROR(F85-E85, ""), IF($H$56=Lists!$D$9, IFERROR(G85-E85, ""), IFERROR(G85-F85, "")))</f>
        <v>-720110.06580355437</v>
      </c>
      <c r="I85" s="80"/>
      <c r="J85" s="54"/>
    </row>
    <row r="86" spans="1:10" ht="10" customHeight="1" x14ac:dyDescent="0.35">
      <c r="A86" s="53"/>
      <c r="J86" s="54"/>
    </row>
    <row r="87" spans="1:10" x14ac:dyDescent="0.35">
      <c r="A87" s="53"/>
      <c r="B87" s="143" t="s">
        <v>69</v>
      </c>
      <c r="C87" s="144"/>
      <c r="D87" s="144"/>
      <c r="E87" s="144"/>
      <c r="F87" s="144"/>
      <c r="G87" s="144"/>
      <c r="H87" s="144"/>
      <c r="I87" s="145"/>
      <c r="J87" s="54"/>
    </row>
    <row r="88" spans="1:10" ht="14.5" customHeight="1" x14ac:dyDescent="0.35">
      <c r="A88" s="53"/>
      <c r="B88" s="12" t="s">
        <v>70</v>
      </c>
      <c r="C88" s="13"/>
      <c r="D88" s="14"/>
      <c r="E88" s="109">
        <v>3996993</v>
      </c>
      <c r="F88" s="109">
        <v>7615501.8143997099</v>
      </c>
      <c r="G88" s="110"/>
      <c r="H88" s="34">
        <f>IF($H$56=Lists!$D$8, IFERROR(F88-E88, ""), IF($H$56=Lists!$D$9, IFERROR(G88-E88, ""), IFERROR(G88-F88, "")))</f>
        <v>-7615501.8143997099</v>
      </c>
      <c r="I88" s="119"/>
      <c r="J88" s="54"/>
    </row>
    <row r="89" spans="1:10" x14ac:dyDescent="0.35">
      <c r="A89" s="53"/>
      <c r="B89" s="15" t="s">
        <v>71</v>
      </c>
      <c r="D89" s="16"/>
      <c r="E89" s="109"/>
      <c r="F89" s="109">
        <v>0</v>
      </c>
      <c r="G89" s="110"/>
      <c r="H89" s="34">
        <f>IF($H$56=Lists!$D$8, IFERROR(F89-E89, ""), IF($H$56=Lists!$D$9, IFERROR(G89-E89, ""), IFERROR(G89-F89, "")))</f>
        <v>0</v>
      </c>
      <c r="I89" s="111"/>
      <c r="J89" s="54"/>
    </row>
    <row r="90" spans="1:10" x14ac:dyDescent="0.35">
      <c r="A90" s="53"/>
      <c r="B90" s="15" t="s">
        <v>72</v>
      </c>
      <c r="D90" s="16"/>
      <c r="E90" s="109">
        <v>23445649</v>
      </c>
      <c r="F90" s="109">
        <v>26966354</v>
      </c>
      <c r="G90" s="109"/>
      <c r="H90" s="35">
        <f>IF($H$56=Lists!$D$8, IFERROR(F90-E90, ""), IF($H$56=Lists!$D$9, IFERROR(G90-E90, ""), IFERROR(G90-F90, "")))</f>
        <v>-26966354</v>
      </c>
      <c r="I90" s="111"/>
      <c r="J90" s="54"/>
    </row>
    <row r="91" spans="1:10" x14ac:dyDescent="0.35">
      <c r="A91" s="53"/>
      <c r="B91" s="38"/>
      <c r="C91" s="1"/>
      <c r="D91" s="161" t="s">
        <v>73</v>
      </c>
      <c r="E91" s="162">
        <f>SUM(E88:E90)</f>
        <v>27442642</v>
      </c>
      <c r="F91" s="36">
        <f>SUM(F88:F90)</f>
        <v>34581855.814399712</v>
      </c>
      <c r="G91" s="36">
        <f>SUM(G88:G90)</f>
        <v>0</v>
      </c>
      <c r="H91" s="34">
        <f>IF($H$56=Lists!$D$8, IFERROR(F91-E91, ""), IF($H$56=Lists!$D$9, IFERROR(G91-E91, ""), IFERROR(G91-F91, "")))</f>
        <v>-34581855.814399712</v>
      </c>
      <c r="I91" s="80"/>
      <c r="J91" s="54"/>
    </row>
    <row r="92" spans="1:10" x14ac:dyDescent="0.35">
      <c r="A92" s="53"/>
      <c r="B92" s="15" t="s">
        <v>74</v>
      </c>
      <c r="D92" s="16"/>
      <c r="E92" s="109">
        <v>1376889</v>
      </c>
      <c r="F92" s="109">
        <v>1729092.7907199857</v>
      </c>
      <c r="G92" s="110"/>
      <c r="H92" s="34">
        <f>IF($H$56=Lists!$D$8, IFERROR(F92-E92, ""), IF($H$56=Lists!$D$9, IFERROR(G92-E92, ""), IFERROR(G92-F92, "")))</f>
        <v>-1729092.7907199857</v>
      </c>
      <c r="I92" s="111"/>
      <c r="J92" s="54"/>
    </row>
    <row r="93" spans="1:10" x14ac:dyDescent="0.35">
      <c r="A93" s="53"/>
      <c r="B93" s="15" t="s">
        <v>75</v>
      </c>
      <c r="D93" s="16"/>
      <c r="E93" s="109">
        <v>0</v>
      </c>
      <c r="F93" s="109"/>
      <c r="G93" s="109"/>
      <c r="H93" s="34">
        <f>IF($H$56=Lists!$D$8, IFERROR(F93-E93, ""), IF($H$56=Lists!$D$9, IFERROR(G93-E93, ""), IFERROR(G93-F93, "")))</f>
        <v>0</v>
      </c>
      <c r="I93" s="111"/>
      <c r="J93" s="54"/>
    </row>
    <row r="94" spans="1:10" x14ac:dyDescent="0.35">
      <c r="A94" s="53"/>
      <c r="B94" s="15" t="s">
        <v>76</v>
      </c>
      <c r="D94" s="16"/>
      <c r="E94" s="109">
        <v>2334383</v>
      </c>
      <c r="F94" s="109">
        <v>2941242.0926725836</v>
      </c>
      <c r="G94" s="109"/>
      <c r="H94" s="34">
        <f>IF($H$56=Lists!$D$8, IFERROR(F94-E94, ""), IF($H$56=Lists!$D$9, IFERROR(G94-E94, ""), IFERROR(G94-F94, "")))</f>
        <v>-2941242.0926725836</v>
      </c>
      <c r="I94" s="111"/>
      <c r="J94" s="54"/>
    </row>
    <row r="95" spans="1:10" x14ac:dyDescent="0.35">
      <c r="A95" s="53"/>
      <c r="B95" s="15" t="str">
        <f>IF(C53=Lists!J3, "GCCM Costs", IF(C53=Lists!J4, "Design-Build Costs", ""))</f>
        <v/>
      </c>
      <c r="D95" s="16"/>
      <c r="E95" s="109"/>
      <c r="F95" s="109"/>
      <c r="G95" s="109"/>
      <c r="H95" s="34">
        <f>IF($H$56=Lists!$D$8, IFERROR(F95-E95, ""), IF($H$56=Lists!$D$9, IFERROR(G95-E95, ""), IFERROR(G95-F95, "")))</f>
        <v>0</v>
      </c>
      <c r="I95" s="111"/>
      <c r="J95" s="54"/>
    </row>
    <row r="96" spans="1:10" x14ac:dyDescent="0.35">
      <c r="A96" s="53"/>
      <c r="B96" s="15" t="str">
        <f>IF(C53=Lists!J3, "GCCM Risk Contingency", "")</f>
        <v/>
      </c>
      <c r="D96" s="16"/>
      <c r="E96" s="109"/>
      <c r="F96" s="109"/>
      <c r="G96" s="109"/>
      <c r="H96" s="34">
        <f>IF($H$56=Lists!$D$8, IFERROR(F96-E96, ""), IF($H$56=Lists!$D$9, IFERROR(G96-E96, ""), IFERROR(G96-F96, "")))</f>
        <v>0</v>
      </c>
      <c r="I96" s="111"/>
      <c r="J96" s="54"/>
    </row>
    <row r="97" spans="1:10" x14ac:dyDescent="0.35">
      <c r="A97" s="53"/>
      <c r="B97" s="158"/>
      <c r="C97" s="159"/>
      <c r="D97" s="128" t="s">
        <v>77</v>
      </c>
      <c r="E97" s="162">
        <f>SUM(E91:E96)</f>
        <v>31153914</v>
      </c>
      <c r="F97" s="36">
        <f>SUM(F91:F96)</f>
        <v>39252190.697792284</v>
      </c>
      <c r="G97" s="36">
        <f>SUM(G91:G96)</f>
        <v>0</v>
      </c>
      <c r="H97" s="37">
        <f>IF($H$56=Lists!$D$8, IFERROR(F97-E97, ""), IF($H$56=Lists!$D$9, IFERROR(G97-E97, ""), IFERROR(G97-F97, "")))</f>
        <v>-39252190.697792284</v>
      </c>
      <c r="I97" s="72"/>
      <c r="J97" s="54"/>
    </row>
    <row r="98" spans="1:10" ht="10" customHeight="1" x14ac:dyDescent="0.35">
      <c r="A98" s="53"/>
      <c r="J98" s="54"/>
    </row>
    <row r="99" spans="1:10" x14ac:dyDescent="0.35">
      <c r="A99" s="53"/>
      <c r="B99" s="143" t="s">
        <v>78</v>
      </c>
      <c r="C99" s="144"/>
      <c r="D99" s="144"/>
      <c r="E99" s="144"/>
      <c r="F99" s="144"/>
      <c r="G99" s="144"/>
      <c r="H99" s="144"/>
      <c r="I99" s="145"/>
      <c r="J99" s="54"/>
    </row>
    <row r="100" spans="1:10" x14ac:dyDescent="0.35">
      <c r="A100" s="53"/>
      <c r="B100" s="38" t="s">
        <v>79</v>
      </c>
      <c r="D100" s="16"/>
      <c r="E100" s="112">
        <v>1580917</v>
      </c>
      <c r="F100" s="112">
        <v>1499385.916</v>
      </c>
      <c r="G100" s="113"/>
      <c r="H100" s="39">
        <f>IF($H$56=Lists!$D$8, IFERROR(F100-E100, ""), IF($H$56=Lists!$D$9, IFERROR(G100-E100, ""), IFERROR(G100-F100, "")))</f>
        <v>-1499385.916</v>
      </c>
      <c r="I100" s="115"/>
      <c r="J100" s="81"/>
    </row>
    <row r="101" spans="1:10" x14ac:dyDescent="0.35">
      <c r="A101" s="53"/>
      <c r="B101" s="38" t="s">
        <v>80</v>
      </c>
      <c r="D101" s="16"/>
      <c r="E101" s="112">
        <v>185128</v>
      </c>
      <c r="F101" s="112">
        <v>240805.61451523434</v>
      </c>
      <c r="G101" s="113">
        <v>4000</v>
      </c>
      <c r="H101" s="39">
        <f>IF($H$56=Lists!$D$8, IFERROR(F101-E101, ""), IF($H$56=Lists!$D$9, IFERROR(G101-E101, ""), IFERROR(G101-F101, "")))</f>
        <v>-236805.61451523434</v>
      </c>
      <c r="I101" s="115"/>
      <c r="J101" s="81"/>
    </row>
    <row r="102" spans="1:10" x14ac:dyDescent="0.35">
      <c r="A102" s="53"/>
      <c r="B102" s="38" t="s">
        <v>81</v>
      </c>
      <c r="D102" s="16"/>
      <c r="E102" s="109">
        <v>0</v>
      </c>
      <c r="F102" s="109">
        <v>0</v>
      </c>
      <c r="G102" s="110"/>
      <c r="H102" s="40">
        <f>IF($H$56=Lists!$D$8, IFERROR(F102-E102, ""), IF($H$56=Lists!$D$9, IFERROR(G102-E102, ""), IFERROR(G102-F102, "")))</f>
        <v>0</v>
      </c>
      <c r="I102" s="119"/>
      <c r="J102" s="54"/>
    </row>
    <row r="103" spans="1:10" x14ac:dyDescent="0.35">
      <c r="A103" s="53"/>
      <c r="B103" s="38" t="s">
        <v>82</v>
      </c>
      <c r="D103" s="16"/>
      <c r="E103" s="109">
        <v>184300</v>
      </c>
      <c r="F103" s="109">
        <v>184300</v>
      </c>
      <c r="G103" s="114"/>
      <c r="H103" s="41">
        <f>IF($H$56=Lists!$D$8, IFERROR(F103-E103, ""), IF($H$56=Lists!$D$9, IFERROR(G103-E103, ""), IFERROR(G103-F103, "")))</f>
        <v>-184300</v>
      </c>
      <c r="I103" s="115"/>
      <c r="J103" s="81"/>
    </row>
    <row r="104" spans="1:10" ht="15" thickBot="1" x14ac:dyDescent="0.4">
      <c r="A104" s="53"/>
      <c r="B104" s="163"/>
      <c r="C104" s="60"/>
      <c r="D104" s="129" t="s">
        <v>83</v>
      </c>
      <c r="E104" s="42">
        <f>SUM(E100:E103)</f>
        <v>1950345</v>
      </c>
      <c r="F104" s="42">
        <f>SUM(F100:F103)</f>
        <v>1924491.5305152342</v>
      </c>
      <c r="G104" s="42">
        <f>SUM(G100:G103)</f>
        <v>4000</v>
      </c>
      <c r="H104" s="37">
        <f>IF($H$56=Lists!$D$8, IFERROR(F104-E104, ""), IF($H$56=Lists!$D$9, IFERROR(G104-E104, ""), IFERROR(G104-F104, "")))</f>
        <v>-1920491.5305152342</v>
      </c>
      <c r="I104" s="82"/>
      <c r="J104" s="81"/>
    </row>
    <row r="105" spans="1:10" ht="19.5" thickTop="1" thickBot="1" x14ac:dyDescent="0.5">
      <c r="A105" s="53"/>
      <c r="B105" s="83" t="s">
        <v>84</v>
      </c>
      <c r="C105" s="84"/>
      <c r="D105" s="84"/>
      <c r="E105" s="85">
        <f>SUM(E76,E85,E97,E104)</f>
        <v>37210693</v>
      </c>
      <c r="F105" s="85">
        <f>SUM(F76,F85,F97,F104)</f>
        <v>45894561.234111071</v>
      </c>
      <c r="G105" s="85">
        <f>SUM(G76,G85,G97,G104)</f>
        <v>4001768.94</v>
      </c>
      <c r="H105" s="85">
        <f>SUM(H76,H85,H97,H104)</f>
        <v>-41892792.294111073</v>
      </c>
      <c r="I105" s="86"/>
      <c r="J105" s="81"/>
    </row>
    <row r="106" spans="1:10" ht="10" customHeight="1" thickTop="1" x14ac:dyDescent="0.35">
      <c r="A106" s="53"/>
      <c r="B106" s="120"/>
      <c r="C106" s="120"/>
      <c r="D106" s="120"/>
      <c r="E106" s="43"/>
      <c r="F106" s="43"/>
      <c r="G106" s="43"/>
      <c r="H106" s="43"/>
      <c r="I106" s="117"/>
      <c r="J106" s="81"/>
    </row>
    <row r="107" spans="1:10" s="1" customFormat="1" x14ac:dyDescent="0.35">
      <c r="A107" s="56"/>
      <c r="B107" s="170" t="str">
        <f>IF(ReportType=Lists!$O$2, "", "Close-Out Information")</f>
        <v/>
      </c>
      <c r="C107" s="171"/>
      <c r="D107" s="171"/>
      <c r="E107" s="171"/>
      <c r="F107" s="171"/>
      <c r="G107" s="171"/>
      <c r="H107" s="171"/>
      <c r="I107" s="172"/>
      <c r="J107" s="57"/>
    </row>
    <row r="108" spans="1:10" s="1" customFormat="1" x14ac:dyDescent="0.35">
      <c r="A108" s="56"/>
      <c r="B108" s="44"/>
      <c r="C108" s="180"/>
      <c r="D108" s="180"/>
      <c r="E108" s="180" t="str">
        <f>IF(ReportType=Lists!$O$2, "", "NOTES")</f>
        <v/>
      </c>
      <c r="F108" s="180"/>
      <c r="G108" s="180"/>
      <c r="H108" s="180"/>
      <c r="I108" s="181"/>
      <c r="J108" s="57"/>
    </row>
    <row r="109" spans="1:10" ht="15" customHeight="1" x14ac:dyDescent="0.35">
      <c r="A109" s="53"/>
      <c r="B109" s="71" t="str">
        <f>IF(ReportType=Lists!$O$2, "", "Number of Change Orders")</f>
        <v/>
      </c>
      <c r="C109" s="173"/>
      <c r="D109" s="174"/>
      <c r="E109" s="177"/>
      <c r="F109" s="178"/>
      <c r="G109" s="178"/>
      <c r="H109" s="178"/>
      <c r="I109" s="179"/>
      <c r="J109" s="54"/>
    </row>
    <row r="110" spans="1:10" ht="15" customHeight="1" x14ac:dyDescent="0.35">
      <c r="A110" s="53"/>
      <c r="B110" s="71" t="str">
        <f>IF(ReportType=Lists!$O$2, "", "Total Value of Change Orders")</f>
        <v/>
      </c>
      <c r="C110" s="182"/>
      <c r="D110" s="183"/>
      <c r="E110" s="122"/>
      <c r="F110" s="123"/>
      <c r="G110" s="123"/>
      <c r="H110" s="123"/>
      <c r="I110" s="124"/>
      <c r="J110" s="54"/>
    </row>
    <row r="111" spans="1:10" ht="15" customHeight="1" x14ac:dyDescent="0.35">
      <c r="A111" s="53"/>
      <c r="B111" s="71" t="str">
        <f>IF(ReportType=Lists!$O$2, "", "Outstanding Liabilities")</f>
        <v/>
      </c>
      <c r="C111" s="182"/>
      <c r="D111" s="183"/>
      <c r="E111" s="122"/>
      <c r="F111" s="123"/>
      <c r="G111" s="123"/>
      <c r="H111" s="123"/>
      <c r="I111" s="124"/>
      <c r="J111" s="54"/>
    </row>
    <row r="112" spans="1:10" x14ac:dyDescent="0.35">
      <c r="A112" s="53"/>
      <c r="B112" s="18" t="str">
        <f>IF(ReportType=Lists!$O$2, "", "Unsettled Claims")</f>
        <v/>
      </c>
      <c r="C112" s="175"/>
      <c r="D112" s="176"/>
      <c r="E112" s="177"/>
      <c r="F112" s="178"/>
      <c r="G112" s="178"/>
      <c r="H112" s="178"/>
      <c r="I112" s="179"/>
      <c r="J112" s="54"/>
    </row>
    <row r="113" spans="1:10" ht="10" customHeight="1" x14ac:dyDescent="0.35">
      <c r="A113" s="53"/>
      <c r="J113" s="54"/>
    </row>
    <row r="114" spans="1:10" ht="15" thickBot="1" x14ac:dyDescent="0.4">
      <c r="A114" s="53"/>
      <c r="B114" s="1" t="s">
        <v>85</v>
      </c>
      <c r="J114" s="54"/>
    </row>
    <row r="115" spans="1:10" ht="14.5" customHeight="1" x14ac:dyDescent="0.35">
      <c r="A115" s="53"/>
      <c r="B115" s="196" t="s">
        <v>201</v>
      </c>
      <c r="C115" s="197"/>
      <c r="D115" s="197"/>
      <c r="E115" s="197"/>
      <c r="F115" s="197"/>
      <c r="G115" s="197"/>
      <c r="H115" s="197"/>
      <c r="I115" s="198"/>
      <c r="J115" s="54"/>
    </row>
    <row r="116" spans="1:10" x14ac:dyDescent="0.35">
      <c r="A116" s="53"/>
      <c r="B116" s="199" t="s">
        <v>202</v>
      </c>
      <c r="C116" s="200"/>
      <c r="D116" s="200"/>
      <c r="E116" s="200"/>
      <c r="F116" s="200"/>
      <c r="G116" s="200"/>
      <c r="H116" s="200"/>
      <c r="I116" s="201"/>
      <c r="J116" s="54"/>
    </row>
    <row r="117" spans="1:10" x14ac:dyDescent="0.35">
      <c r="A117" s="53"/>
      <c r="B117" s="199"/>
      <c r="C117" s="200"/>
      <c r="D117" s="200"/>
      <c r="E117" s="200"/>
      <c r="F117" s="200"/>
      <c r="G117" s="200"/>
      <c r="H117" s="200"/>
      <c r="I117" s="201"/>
      <c r="J117" s="54"/>
    </row>
    <row r="118" spans="1:10" x14ac:dyDescent="0.35">
      <c r="A118" s="53"/>
      <c r="B118" s="199"/>
      <c r="C118" s="200"/>
      <c r="D118" s="200"/>
      <c r="E118" s="200"/>
      <c r="F118" s="200"/>
      <c r="G118" s="200"/>
      <c r="H118" s="200"/>
      <c r="I118" s="201"/>
      <c r="J118" s="54"/>
    </row>
    <row r="119" spans="1:10" x14ac:dyDescent="0.35">
      <c r="A119" s="53"/>
      <c r="B119" s="199"/>
      <c r="C119" s="200"/>
      <c r="D119" s="200"/>
      <c r="E119" s="200"/>
      <c r="F119" s="200"/>
      <c r="G119" s="200"/>
      <c r="H119" s="200"/>
      <c r="I119" s="201"/>
      <c r="J119" s="54"/>
    </row>
    <row r="120" spans="1:10" x14ac:dyDescent="0.35">
      <c r="A120" s="53"/>
      <c r="B120" s="199"/>
      <c r="C120" s="200"/>
      <c r="D120" s="200"/>
      <c r="E120" s="200"/>
      <c r="F120" s="200"/>
      <c r="G120" s="200"/>
      <c r="H120" s="200"/>
      <c r="I120" s="201"/>
      <c r="J120" s="54"/>
    </row>
    <row r="121" spans="1:10" x14ac:dyDescent="0.35">
      <c r="A121" s="53"/>
      <c r="B121" s="199"/>
      <c r="C121" s="200"/>
      <c r="D121" s="200"/>
      <c r="E121" s="200"/>
      <c r="F121" s="200"/>
      <c r="G121" s="200"/>
      <c r="H121" s="200"/>
      <c r="I121" s="201"/>
      <c r="J121" s="54"/>
    </row>
    <row r="122" spans="1:10" x14ac:dyDescent="0.35">
      <c r="A122" s="53"/>
      <c r="B122" s="199"/>
      <c r="C122" s="200"/>
      <c r="D122" s="200"/>
      <c r="E122" s="200"/>
      <c r="F122" s="200"/>
      <c r="G122" s="200"/>
      <c r="H122" s="200"/>
      <c r="I122" s="201"/>
      <c r="J122" s="54"/>
    </row>
    <row r="123" spans="1:10" x14ac:dyDescent="0.35">
      <c r="A123" s="53"/>
      <c r="B123" s="199"/>
      <c r="C123" s="200"/>
      <c r="D123" s="200"/>
      <c r="E123" s="200"/>
      <c r="F123" s="200"/>
      <c r="G123" s="200"/>
      <c r="H123" s="200"/>
      <c r="I123" s="201"/>
      <c r="J123" s="54"/>
    </row>
    <row r="124" spans="1:10" x14ac:dyDescent="0.35">
      <c r="A124" s="53"/>
      <c r="B124" s="199"/>
      <c r="C124" s="200"/>
      <c r="D124" s="200"/>
      <c r="E124" s="200"/>
      <c r="F124" s="200"/>
      <c r="G124" s="200"/>
      <c r="H124" s="200"/>
      <c r="I124" s="201"/>
      <c r="J124" s="54"/>
    </row>
    <row r="125" spans="1:10" x14ac:dyDescent="0.35">
      <c r="A125" s="53"/>
      <c r="B125" s="199"/>
      <c r="C125" s="200"/>
      <c r="D125" s="200"/>
      <c r="E125" s="200"/>
      <c r="F125" s="200"/>
      <c r="G125" s="200"/>
      <c r="H125" s="200"/>
      <c r="I125" s="201"/>
      <c r="J125" s="54"/>
    </row>
    <row r="126" spans="1:10" x14ac:dyDescent="0.35">
      <c r="A126" s="53"/>
      <c r="B126" s="199"/>
      <c r="C126" s="200"/>
      <c r="D126" s="200"/>
      <c r="E126" s="200"/>
      <c r="F126" s="200"/>
      <c r="G126" s="200"/>
      <c r="H126" s="200"/>
      <c r="I126" s="201"/>
      <c r="J126" s="54"/>
    </row>
    <row r="127" spans="1:10" x14ac:dyDescent="0.35">
      <c r="A127" s="53"/>
      <c r="B127" s="199"/>
      <c r="C127" s="200"/>
      <c r="D127" s="200"/>
      <c r="E127" s="200"/>
      <c r="F127" s="200"/>
      <c r="G127" s="200"/>
      <c r="H127" s="200"/>
      <c r="I127" s="201"/>
      <c r="J127" s="54"/>
    </row>
    <row r="128" spans="1:10" x14ac:dyDescent="0.35">
      <c r="A128" s="53"/>
      <c r="B128" s="199"/>
      <c r="C128" s="200"/>
      <c r="D128" s="200"/>
      <c r="E128" s="200"/>
      <c r="F128" s="200"/>
      <c r="G128" s="200"/>
      <c r="H128" s="200"/>
      <c r="I128" s="201"/>
      <c r="J128" s="54"/>
    </row>
    <row r="129" spans="1:10" x14ac:dyDescent="0.35">
      <c r="A129" s="53"/>
      <c r="B129" s="199"/>
      <c r="C129" s="200"/>
      <c r="D129" s="200"/>
      <c r="E129" s="200"/>
      <c r="F129" s="200"/>
      <c r="G129" s="200"/>
      <c r="H129" s="200"/>
      <c r="I129" s="201"/>
      <c r="J129" s="54"/>
    </row>
    <row r="130" spans="1:10" x14ac:dyDescent="0.35">
      <c r="A130" s="53"/>
      <c r="B130" s="199"/>
      <c r="C130" s="200"/>
      <c r="D130" s="200"/>
      <c r="E130" s="200"/>
      <c r="F130" s="200"/>
      <c r="G130" s="200"/>
      <c r="H130" s="200"/>
      <c r="I130" s="201"/>
      <c r="J130" s="54"/>
    </row>
    <row r="131" spans="1:10" x14ac:dyDescent="0.35">
      <c r="A131" s="53"/>
      <c r="B131" s="199"/>
      <c r="C131" s="200"/>
      <c r="D131" s="200"/>
      <c r="E131" s="200"/>
      <c r="F131" s="200"/>
      <c r="G131" s="200"/>
      <c r="H131" s="200"/>
      <c r="I131" s="201"/>
      <c r="J131" s="54"/>
    </row>
    <row r="132" spans="1:10" x14ac:dyDescent="0.35">
      <c r="A132" s="53"/>
      <c r="B132" s="199"/>
      <c r="C132" s="200"/>
      <c r="D132" s="200"/>
      <c r="E132" s="200"/>
      <c r="F132" s="200"/>
      <c r="G132" s="200"/>
      <c r="H132" s="200"/>
      <c r="I132" s="201"/>
      <c r="J132" s="54"/>
    </row>
    <row r="133" spans="1:10" x14ac:dyDescent="0.35">
      <c r="A133" s="53"/>
      <c r="B133" s="199"/>
      <c r="C133" s="200"/>
      <c r="D133" s="200"/>
      <c r="E133" s="200"/>
      <c r="F133" s="200"/>
      <c r="G133" s="200"/>
      <c r="H133" s="200"/>
      <c r="I133" s="201"/>
      <c r="J133" s="54"/>
    </row>
    <row r="134" spans="1:10" ht="15" thickBot="1" x14ac:dyDescent="0.4">
      <c r="A134" s="53"/>
      <c r="B134" s="202"/>
      <c r="C134" s="203"/>
      <c r="D134" s="203"/>
      <c r="E134" s="203"/>
      <c r="F134" s="203"/>
      <c r="G134" s="203"/>
      <c r="H134" s="203"/>
      <c r="I134" s="204"/>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G51:H51"/>
    <mergeCell ref="G52:H52"/>
    <mergeCell ref="G53:H53"/>
    <mergeCell ref="E51:F51"/>
    <mergeCell ref="C51:D51"/>
    <mergeCell ref="C52:D52"/>
    <mergeCell ref="C53:D53"/>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s>
  <conditionalFormatting sqref="A86:J109 A110:C111 E110:J111 A112:J135 A1:J30 A31:G31 J31 A32:J75 A76 C76:J76 A77:J84 A85 C85:J85">
    <cfRule type="expression" dxfId="2" priority="3">
      <formula>CELL("PROTECT", A1)=0</formula>
    </cfRule>
  </conditionalFormatting>
  <conditionalFormatting sqref="E95:I96">
    <cfRule type="expression" dxfId="0" priority="2">
      <formula>$B95=""</formula>
    </cfRule>
  </conditionalFormatting>
  <dataValidations count="1">
    <dataValidation type="list" allowBlank="1" showInputMessage="1" showErrorMessage="1" sqref="K63" xr:uid="{00000000-0002-0000-0100-000000000000}">
      <formula1>"PMoptions"</formula1>
    </dataValidation>
  </dataValidations>
  <pageMargins left="0.45" right="0.45" top="0.5" bottom="0.5" header="0.3" footer="0.3"/>
  <pageSetup scale="66" fitToHeight="2" orientation="portrait" r:id="rId1"/>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Lists!$B$2:$B$65</xm:f>
          </x14:formula1>
          <xm:sqref>C51:D51</xm:sqref>
        </x14:dataValidation>
        <x14:dataValidation type="list" allowBlank="1" showInputMessage="1" showErrorMessage="1" xr:uid="{00000000-0002-0000-0100-000002000000}">
          <x14:formula1>
            <xm:f>Lists!$D$2:$D$3</xm:f>
          </x14:formula1>
          <xm:sqref>G52:H53</xm:sqref>
        </x14:dataValidation>
        <x14:dataValidation type="list" allowBlank="1" showInputMessage="1" showErrorMessage="1" xr:uid="{00000000-0002-0000-0100-000003000000}">
          <x14:formula1>
            <xm:f>Lists!$F$2:$F$4</xm:f>
          </x14:formula1>
          <xm:sqref>G51:H51</xm:sqref>
        </x14:dataValidation>
        <x14:dataValidation type="list" allowBlank="1" showInputMessage="1" showErrorMessage="1" xr:uid="{00000000-0002-0000-0100-000004000000}">
          <x14:formula1>
            <xm:f>Lists!$J$2:$J$5</xm:f>
          </x14:formula1>
          <xm:sqref>C53:D53</xm:sqref>
        </x14:dataValidation>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14A0D-7EF7-4ABD-83A9-E06467C8A4A6}">
  <dimension ref="A1:R1"/>
  <sheetViews>
    <sheetView showGridLines="0" topLeftCell="A21" workbookViewId="0">
      <selection activeCell="S46" sqref="S46"/>
    </sheetView>
  </sheetViews>
  <sheetFormatPr defaultRowHeight="14.5" x14ac:dyDescent="0.35"/>
  <sheetData>
    <row r="1" spans="1:18" ht="21" x14ac:dyDescent="0.5">
      <c r="A1" s="149" t="s">
        <v>86</v>
      </c>
      <c r="B1" s="150"/>
      <c r="C1" s="150"/>
      <c r="D1" s="150"/>
      <c r="E1" s="150"/>
      <c r="F1" s="150"/>
      <c r="G1" s="150"/>
      <c r="H1" s="150"/>
      <c r="I1" s="150"/>
      <c r="J1" s="150"/>
      <c r="K1" s="150"/>
      <c r="L1" s="150"/>
      <c r="M1" s="150"/>
      <c r="N1" s="150"/>
      <c r="O1" s="150"/>
      <c r="P1" s="150"/>
      <c r="Q1" s="150"/>
      <c r="R1" s="15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741-30C0-487E-B956-C0D816F41B2F}">
  <dimension ref="A1:R1"/>
  <sheetViews>
    <sheetView showGridLines="0" workbookViewId="0">
      <selection activeCell="A3" sqref="A3:F3"/>
    </sheetView>
  </sheetViews>
  <sheetFormatPr defaultRowHeight="14.5" x14ac:dyDescent="0.35"/>
  <sheetData>
    <row r="1" spans="1:18" ht="21" x14ac:dyDescent="0.5">
      <c r="A1" s="149" t="s">
        <v>86</v>
      </c>
      <c r="B1" s="150"/>
      <c r="C1" s="150"/>
      <c r="D1" s="150"/>
      <c r="E1" s="150"/>
      <c r="F1" s="150"/>
      <c r="G1" s="150"/>
      <c r="H1" s="150"/>
      <c r="I1" s="150"/>
      <c r="J1" s="150"/>
      <c r="K1" s="150"/>
      <c r="L1" s="150"/>
      <c r="M1" s="150"/>
      <c r="N1" s="150"/>
      <c r="O1" s="150"/>
      <c r="P1" s="150"/>
      <c r="Q1" s="150"/>
      <c r="R1" s="15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Major Project Report</vt:lpstr>
      <vt:lpstr>Photo Gallery (2)</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2025-12-29T22:37:59Z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