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F0DA5CC9-3181-4F2A-99BA-0E01573F6FAA}"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G43" i="3"/>
  <c r="G104" i="3" l="1"/>
  <c r="E84" i="3"/>
  <c r="E83" i="3"/>
  <c r="H46" i="3"/>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7" i="3"/>
  <c r="H44" i="3"/>
  <c r="H42" i="3"/>
  <c r="H41" i="3"/>
  <c r="H39" i="3"/>
  <c r="F43" i="3"/>
  <c r="E43" i="3"/>
  <c r="D43" i="3"/>
  <c r="C43" i="3"/>
  <c r="G38" i="3"/>
  <c r="F38" i="3"/>
  <c r="E38" i="3"/>
  <c r="D38" i="3"/>
  <c r="C38" i="3"/>
  <c r="D33" i="3"/>
  <c r="E33" i="3"/>
  <c r="F33" i="3"/>
  <c r="G33" i="3"/>
  <c r="H43" i="3" l="1"/>
  <c r="H38" i="3"/>
  <c r="H33" i="3"/>
  <c r="D49" i="3"/>
  <c r="C49" i="3"/>
  <c r="G49" i="3"/>
  <c r="F49" i="3"/>
  <c r="E49" i="3"/>
  <c r="F105" i="3"/>
  <c r="G105" i="3"/>
  <c r="H105" i="3" s="1"/>
  <c r="H49" i="3" l="1"/>
  <c r="F86" i="3" l="1"/>
  <c r="E105" i="3"/>
  <c r="G86" i="3" l="1"/>
  <c r="H86" i="3" s="1"/>
  <c r="E86" i="3"/>
  <c r="H106" i="3" l="1"/>
  <c r="E63" i="3"/>
  <c r="E106" i="3"/>
  <c r="E64" i="3"/>
  <c r="G63" i="3"/>
  <c r="F63" i="3"/>
  <c r="F64" i="3"/>
  <c r="G106" i="3"/>
  <c r="G64" i="3"/>
  <c r="H63" i="3" l="1"/>
  <c r="H64" i="3"/>
  <c r="F10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Maxwell, Debra</author>
  </authors>
  <commentList>
    <comment ref="I82" authorId="0" shapeId="0" xr:uid="{20141E63-5C8F-489B-B481-7AAADC8B68B0}">
      <text>
        <r>
          <rPr>
            <b/>
            <sz val="9"/>
            <color indexed="81"/>
            <rFont val="Tahoma"/>
            <family val="2"/>
          </rPr>
          <t>Maxwell, Debra:</t>
        </r>
        <r>
          <rPr>
            <sz val="9"/>
            <color indexed="81"/>
            <rFont val="Tahoma"/>
            <family val="2"/>
          </rPr>
          <t xml:space="preserve">
Hazardous Materials Survey, Geotechnical Engineering, Commissioning / Building Envelope Testing; RGU additional services</t>
        </r>
      </text>
    </comment>
  </commentList>
</comments>
</file>

<file path=xl/sharedStrings.xml><?xml version="1.0" encoding="utf-8"?>
<sst xmlns="http://schemas.openxmlformats.org/spreadsheetml/2006/main" count="228" uniqueCount="206">
  <si>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</si>
  <si>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</si>
  <si>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</si>
  <si>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</si>
  <si>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</si>
  <si>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</si>
  <si>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</si>
  <si>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</si>
  <si>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</si>
  <si>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</si>
  <si>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</si>
  <si>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</si>
  <si>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</si>
  <si>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</si>
  <si>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</si>
  <si>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</si>
  <si>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</si>
  <si>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</si>
  <si>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</si>
  <si>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</si>
  <si>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</si>
  <si>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</si>
  <si>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</si>
  <si>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</si>
  <si>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</si>
  <si>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</si>
  <si>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</si>
  <si>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</si>
  <si>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</si>
  <si>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</si>
  <si>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</si>
  <si>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</si>
  <si>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</si>
  <si>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</si>
  <si>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</si>
  <si>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</si>
  <si>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</si>
  <si>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</si>
  <si>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</si>
  <si>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</si>
  <si>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</si>
  <si>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</si>
  <si>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</si>
  <si>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</si>
  <si>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</si>
  <si>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</si>
  <si>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</si>
  <si>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</si>
  <si>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</si>
  <si>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</si>
  <si>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</si>
  <si>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</si>
  <si>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</si>
  <si>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</si>
  <si>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</si>
  <si>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</si>
  <si>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</si>
  <si>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</si>
  <si>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</si>
  <si>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</si>
  <si>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</si>
  <si>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</si>
  <si>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</si>
  <si>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</si>
  <si>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</si>
  <si>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</si>
  <si>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</si>
  <si>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</si>
  <si>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</si>
  <si>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</si>
  <si>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</si>
  <si>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</si>
  <si>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</si>
  <si>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</si>
  <si>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</si>
  <si>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</si>
  <si>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</si>
  <si>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</si>
  <si>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</si>
  <si>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</si>
  <si>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</si>
  <si>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</si>
  <si>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</si>
  <si>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</si>
  <si>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</si>
  <si>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</si>
  <si>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</si>
  <si>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</si>
  <si>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</si>
  <si>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</si>
  <si>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</si>
  <si>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</si>
  <si>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</si>
  <si>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</si>
  <si>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</si>
  <si>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</si>
  <si>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</si>
  <si>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</si>
  <si>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</si>
  <si>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</si>
  <si>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</si>
  <si>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</si>
  <si>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</si>
  <si>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</si>
  <si>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</si>
  <si>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</si>
  <si>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</si>
  <si>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</si>
  <si>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</si>
  <si>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</si>
  <si>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</si>
  <si>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</si>
  <si>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</si>
  <si>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</si>
  <si>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</si>
  <si>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</si>
  <si>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</si>
  <si>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</si>
  <si>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</si>
  <si>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</si>
  <si>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</si>
  <si>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</si>
  <si>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</si>
  <si>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</si>
  <si>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</si>
  <si>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</si>
  <si>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</si>
  <si>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</si>
  <si>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</si>
  <si>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</si>
  <si>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</si>
  <si>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</si>
  <si>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</si>
  <si>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</si>
  <si>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</si>
  <si>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</si>
  <si>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</si>
  <si>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</si>
  <si>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</si>
  <si>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</si>
  <si>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</si>
  <si>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</si>
  <si>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</si>
  <si>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</si>
  <si>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</si>
  <si>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</si>
  <si>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</si>
  <si>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</si>
  <si>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</si>
  <si>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</si>
  <si>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</si>
  <si>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</si>
  <si>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</si>
  <si>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</si>
  <si>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</si>
  <si>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</si>
  <si>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</si>
  <si>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</si>
  <si>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</si>
  <si>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</si>
  <si>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</si>
  <si>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</si>
  <si>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</si>
  <si>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</si>
  <si>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</si>
  <si>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</si>
  <si>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</si>
  <si>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</si>
  <si>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</si>
  <si>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</si>
  <si>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</si>
  <si>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</si>
  <si>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</si>
  <si>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</si>
  <si>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</si>
  <si>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</si>
  <si>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</si>
  <si>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</si>
  <si>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</si>
  <si>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</si>
  <si>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</si>
  <si>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</si>
  <si>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</si>
  <si>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</si>
  <si>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</si>
  <si>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</si>
  <si>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Wenatchee Valley College Center for Technical Education and Innovation</t>
  </si>
  <si>
    <t>Rich Peters</t>
  </si>
  <si>
    <t>509-682-6465</t>
  </si>
  <si>
    <t>rpeters@wvc.edu</t>
  </si>
  <si>
    <t>This project is for the engineering and design of a new 70,000 sq ft building to replace portions of Batjer (Automotive, Ag, Natural Resources, Machine, Mechatronics), Industrial Technology/Welding and Refrigeration with a modern state-of-the-art technical education learning facility.</t>
  </si>
  <si>
    <t>147 - Local Funds</t>
  </si>
  <si>
    <t>R870</t>
  </si>
  <si>
    <t>C07, remain w/D04 in BI2527</t>
  </si>
  <si>
    <t>D04, incl. C07 reapprop in BI2527</t>
  </si>
  <si>
    <t>R772</t>
  </si>
  <si>
    <t>See Comments</t>
  </si>
  <si>
    <t>RGU Architect.</t>
  </si>
  <si>
    <t>Multiple</t>
  </si>
  <si>
    <t>Permits, RFP adv</t>
  </si>
  <si>
    <t>057  - State Bldgs. Const Acct</t>
  </si>
  <si>
    <t>% of Bldgs. Area that is being remodeled</t>
  </si>
  <si>
    <t xml:space="preserve">The CMU block work is scheduled to be complete the first full week in January.  Over ninety percent of the structural steel has been installed.  The remaining exterior pre-cast panels will be installed at the Automotive area early in January.  Roofing materials are on site and roofing work has begun on the north side of the building.  Excessive rain and wind have made work difficult.  If extreme weather conditions continue, the Contractor may be requesting some additional time to complete the project.  There were some CMU prism breaks that did not meet the specified requirements.  Additional testing is being done to ensure that the CMU walls meet the specifications.   </t>
  </si>
  <si>
    <r>
      <t xml:space="preserve">Project Description:
</t>
    </r>
    <r>
      <rPr>
        <sz val="10"/>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</si>
  <si>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</si>
  <si>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Commission: Dec 2025 - initiation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</si>
</sst>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b/>
      <sz val="9"/>
      <color indexed="81"/>
      <name val="Tahoma"/>
      <family val="2"/>
    </font>
    <font>
      <sz val="9"/>
      <color indexed="81"/>
      <name val="Tahoma"/>
      <family val="2"/>
    </font>
    <font>
      <sz val="16"/>
      <color rgb="FF000000"/>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0" borderId="12" xfId="0" applyBorder="1" applyAlignment="1" applyProtection="1">
      <alignment horizontal="left"/>
      <protection locked="0"/>
    </xf>
    <xf numFmtId="0" fontId="0" fillId="0" borderId="10" xfId="0" applyBorder="1" applyAlignment="1" applyProtection="1">
      <alignment horizontal="left"/>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3" fillId="0" borderId="10" xfId="0" applyFont="1" applyBorder="1" applyAlignment="1" applyProtection="1">
      <alignment horizontal="left"/>
      <protection locked="0"/>
    </xf>
    <xf numFmtId="17" fontId="15" fillId="0" borderId="0" xfId="0" applyNumberFormat="1" applyFont="1"/>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2" xfId="0" applyFill="1" applyBorder="1" applyAlignment="1" applyProtection="1">
      <alignment vertical="top" wrapText="1"/>
      <protection locked="0"/>
    </xf>
    <xf numFmtId="0" fontId="0" fillId="3" borderId="3"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0" fontId="0" fillId="3" borderId="0" xfId="0" applyFill="1" applyAlignment="1" applyProtection="1">
      <alignment vertical="top" wrapText="1"/>
      <protection locked="0"/>
    </xf>
    <xf numFmtId="0" fontId="0" fillId="3" borderId="5"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3" borderId="1" xfId="0" applyFill="1"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8">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emf"/><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5</xdr:col>
      <xdr:colOff>359888</xdr:colOff>
      <xdr:row>110</xdr:row>
      <xdr:rowOff>68899</xdr:rowOff>
    </xdr:from>
    <xdr:to>
      <xdr:col>12</xdr:col>
      <xdr:colOff>484030</xdr:colOff>
      <xdr:row>111</xdr:row>
      <xdr:rowOff>132557</xdr:rowOff>
    </xdr:to>
    <xdr:sp macro="" textlink="" fLocksText="0">
      <xdr:nvSpPr>
        <xdr:cNvPr id="14" name="TextBox 13">
          <a:extLst>
            <a:ext uri="{FF2B5EF4-FFF2-40B4-BE49-F238E27FC236}">
              <a16:creationId xmlns:a16="http://schemas.microsoft.com/office/drawing/2014/main" id="{FD98B3AE-D799-428E-96F8-9173CD376A18}"/>
            </a:ext>
          </a:extLst>
        </xdr:cNvPr>
        <xdr:cNvSpPr txBox="1"/>
      </xdr:nvSpPr>
      <xdr:spPr>
        <a:xfrm>
          <a:off x="3407888" y="20407949"/>
          <a:ext cx="4391342" cy="24780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CTEI project - rendering 6-23</a:t>
          </a:r>
        </a:p>
        <a:p>
          <a:pPr algn="ctr"/>
          <a:endParaRPr lang="en-US" sz="1100" b="1">
            <a:solidFill>
              <a:schemeClr val="bg1"/>
            </a:solidFill>
          </a:endParaRPr>
        </a:p>
      </xdr:txBody>
    </xdr:sp>
    <xdr:clientData fLocksWithSheet="0"/>
  </xdr:twoCellAnchor>
  <xdr:twoCellAnchor editAs="oneCell">
    <xdr:from>
      <xdr:col>0</xdr:col>
      <xdr:colOff>247650</xdr:colOff>
      <xdr:row>2</xdr:row>
      <xdr:rowOff>30955</xdr:rowOff>
    </xdr:from>
    <xdr:to>
      <xdr:col>11</xdr:col>
      <xdr:colOff>22543</xdr:colOff>
      <xdr:row>46</xdr:row>
      <xdr:rowOff>44776</xdr:rowOff>
    </xdr:to>
    <xdr:pic>
      <xdr:nvPicPr>
        <xdr:cNvPr id="15" name="Picture 14" descr="First floor plan photo">
          <a:extLst>
            <a:ext uri="{FF2B5EF4-FFF2-40B4-BE49-F238E27FC236}">
              <a16:creationId xmlns:a16="http://schemas.microsoft.com/office/drawing/2014/main" id="{57242AD1-03A8-4648-935E-F76D5A110F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47650" y="481805"/>
          <a:ext cx="6480493" cy="8116421"/>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12</xdr:col>
      <xdr:colOff>484981</xdr:colOff>
      <xdr:row>2</xdr:row>
      <xdr:rowOff>12700</xdr:rowOff>
    </xdr:from>
    <xdr:to>
      <xdr:col>23</xdr:col>
      <xdr:colOff>71790</xdr:colOff>
      <xdr:row>45</xdr:row>
      <xdr:rowOff>130968</xdr:rowOff>
    </xdr:to>
    <xdr:pic>
      <xdr:nvPicPr>
        <xdr:cNvPr id="16" name="Picture 15" descr="Second floor plan photo">
          <a:extLst>
            <a:ext uri="{FF2B5EF4-FFF2-40B4-BE49-F238E27FC236}">
              <a16:creationId xmlns:a16="http://schemas.microsoft.com/office/drawing/2014/main" id="{39FC0183-A6B8-4548-B2BA-E344B0696A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800181" y="463550"/>
          <a:ext cx="6292409" cy="8036718"/>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editAs="oneCell">
    <xdr:from>
      <xdr:col>0</xdr:col>
      <xdr:colOff>567372</xdr:colOff>
      <xdr:row>49</xdr:row>
      <xdr:rowOff>46196</xdr:rowOff>
    </xdr:from>
    <xdr:to>
      <xdr:col>7</xdr:col>
      <xdr:colOff>444772</xdr:colOff>
      <xdr:row>61</xdr:row>
      <xdr:rowOff>108811</xdr:rowOff>
    </xdr:to>
    <xdr:pic>
      <xdr:nvPicPr>
        <xdr:cNvPr id="17" name="Picture 16" descr="Outside facade view">
          <a:extLst>
            <a:ext uri="{FF2B5EF4-FFF2-40B4-BE49-F238E27FC236}">
              <a16:creationId xmlns:a16="http://schemas.microsoft.com/office/drawing/2014/main" id="{6DF3C959-8051-4989-8618-8BC1D0B79B8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7372" y="9152096"/>
          <a:ext cx="4144600" cy="2272415"/>
        </a:xfrm>
        <a:prstGeom prst="rect">
          <a:avLst/>
        </a:prstGeom>
      </xdr:spPr>
    </xdr:pic>
    <xdr:clientData/>
  </xdr:twoCellAnchor>
  <xdr:twoCellAnchor editAs="oneCell">
    <xdr:from>
      <xdr:col>8</xdr:col>
      <xdr:colOff>563086</xdr:colOff>
      <xdr:row>49</xdr:row>
      <xdr:rowOff>44132</xdr:rowOff>
    </xdr:from>
    <xdr:to>
      <xdr:col>15</xdr:col>
      <xdr:colOff>431367</xdr:colOff>
      <xdr:row>61</xdr:row>
      <xdr:rowOff>108810</xdr:rowOff>
    </xdr:to>
    <xdr:pic>
      <xdr:nvPicPr>
        <xdr:cNvPr id="18" name="Picture 17" descr="Outside facade view">
          <a:extLst>
            <a:ext uri="{FF2B5EF4-FFF2-40B4-BE49-F238E27FC236}">
              <a16:creationId xmlns:a16="http://schemas.microsoft.com/office/drawing/2014/main" id="{D5C32EA4-E55A-43EA-BD3F-C59DAE393FD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5439886" y="9150032"/>
          <a:ext cx="4135481" cy="2274478"/>
        </a:xfrm>
        <a:prstGeom prst="rect">
          <a:avLst/>
        </a:prstGeom>
      </xdr:spPr>
    </xdr:pic>
    <xdr:clientData/>
  </xdr:twoCellAnchor>
  <xdr:twoCellAnchor editAs="oneCell">
    <xdr:from>
      <xdr:col>0</xdr:col>
      <xdr:colOff>545783</xdr:colOff>
      <xdr:row>62</xdr:row>
      <xdr:rowOff>177006</xdr:rowOff>
    </xdr:from>
    <xdr:to>
      <xdr:col>7</xdr:col>
      <xdr:colOff>475796</xdr:colOff>
      <xdr:row>75</xdr:row>
      <xdr:rowOff>79375</xdr:rowOff>
    </xdr:to>
    <xdr:pic>
      <xdr:nvPicPr>
        <xdr:cNvPr id="19" name="Picture 18" descr="Outside facade view">
          <a:extLst>
            <a:ext uri="{FF2B5EF4-FFF2-40B4-BE49-F238E27FC236}">
              <a16:creationId xmlns:a16="http://schemas.microsoft.com/office/drawing/2014/main" id="{B5FC5E9C-F42B-471F-8A92-B8D1F0B0589D}"/>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45783" y="11676856"/>
          <a:ext cx="4197213" cy="2296319"/>
        </a:xfrm>
        <a:prstGeom prst="rect">
          <a:avLst/>
        </a:prstGeom>
      </xdr:spPr>
    </xdr:pic>
    <xdr:clientData/>
  </xdr:twoCellAnchor>
  <xdr:twoCellAnchor editAs="oneCell">
    <xdr:from>
      <xdr:col>8</xdr:col>
      <xdr:colOff>585946</xdr:colOff>
      <xdr:row>62</xdr:row>
      <xdr:rowOff>161926</xdr:rowOff>
    </xdr:from>
    <xdr:to>
      <xdr:col>15</xdr:col>
      <xdr:colOff>434150</xdr:colOff>
      <xdr:row>75</xdr:row>
      <xdr:rowOff>31024</xdr:rowOff>
    </xdr:to>
    <xdr:pic>
      <xdr:nvPicPr>
        <xdr:cNvPr id="20" name="Picture 19" descr="Outside facade view">
          <a:extLst>
            <a:ext uri="{FF2B5EF4-FFF2-40B4-BE49-F238E27FC236}">
              <a16:creationId xmlns:a16="http://schemas.microsoft.com/office/drawing/2014/main" id="{482423B5-32F8-4FC8-99AE-2F1DAD0A54DD}"/>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462746" y="11661776"/>
          <a:ext cx="4115404" cy="2263048"/>
        </a:xfrm>
        <a:prstGeom prst="rect">
          <a:avLst/>
        </a:prstGeom>
      </xdr:spPr>
    </xdr:pic>
    <xdr:clientData/>
  </xdr:twoCellAnchor>
  <xdr:twoCellAnchor editAs="oneCell">
    <xdr:from>
      <xdr:col>1</xdr:col>
      <xdr:colOff>71667</xdr:colOff>
      <xdr:row>82</xdr:row>
      <xdr:rowOff>22066</xdr:rowOff>
    </xdr:from>
    <xdr:to>
      <xdr:col>17</xdr:col>
      <xdr:colOff>128949</xdr:colOff>
      <xdr:row>110</xdr:row>
      <xdr:rowOff>63499</xdr:rowOff>
    </xdr:to>
    <xdr:pic>
      <xdr:nvPicPr>
        <xdr:cNvPr id="21" name="Picture 20" descr="CTEI project - rendering 6-23 photo&#10;">
          <a:extLst>
            <a:ext uri="{FF2B5EF4-FFF2-40B4-BE49-F238E27FC236}">
              <a16:creationId xmlns:a16="http://schemas.microsoft.com/office/drawing/2014/main" id="{F71EEB0A-C1EB-4F49-B752-27F2EDE1348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81267" y="15204916"/>
          <a:ext cx="9810882" cy="51976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72549</xdr:colOff>
      <xdr:row>114</xdr:row>
      <xdr:rowOff>99219</xdr:rowOff>
    </xdr:from>
    <xdr:to>
      <xdr:col>15</xdr:col>
      <xdr:colOff>86778</xdr:colOff>
      <xdr:row>138</xdr:row>
      <xdr:rowOff>144462</xdr:rowOff>
    </xdr:to>
    <xdr:pic>
      <xdr:nvPicPr>
        <xdr:cNvPr id="22" name="Picture 21" descr="CTEI project - rendering photo&#10;">
          <a:extLst>
            <a:ext uri="{FF2B5EF4-FFF2-40B4-BE49-F238E27FC236}">
              <a16:creationId xmlns:a16="http://schemas.microsoft.com/office/drawing/2014/main" id="{00AC0AEA-3BF4-4DF2-BB5E-90CB90F8378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682149" y="21174869"/>
          <a:ext cx="8548629" cy="4464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182086</xdr:colOff>
      <xdr:row>114</xdr:row>
      <xdr:rowOff>107951</xdr:rowOff>
    </xdr:from>
    <xdr:to>
      <xdr:col>28</xdr:col>
      <xdr:colOff>159420</xdr:colOff>
      <xdr:row>139</xdr:row>
      <xdr:rowOff>64294</xdr:rowOff>
    </xdr:to>
    <xdr:pic>
      <xdr:nvPicPr>
        <xdr:cNvPr id="23" name="Picture 22" descr="CTEI project - rendering photo">
          <a:extLst>
            <a:ext uri="{FF2B5EF4-FFF2-40B4-BE49-F238E27FC236}">
              <a16:creationId xmlns:a16="http://schemas.microsoft.com/office/drawing/2014/main" id="{ADB338D9-A204-40B7-A9D8-9118795C8AD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9935686" y="21183601"/>
          <a:ext cx="7292534" cy="4560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165418</xdr:colOff>
      <xdr:row>141</xdr:row>
      <xdr:rowOff>151607</xdr:rowOff>
    </xdr:from>
    <xdr:to>
      <xdr:col>14</xdr:col>
      <xdr:colOff>322580</xdr:colOff>
      <xdr:row>164</xdr:row>
      <xdr:rowOff>18174</xdr:rowOff>
    </xdr:to>
    <xdr:pic>
      <xdr:nvPicPr>
        <xdr:cNvPr id="24" name="Picture 23" descr="June site work">
          <a:extLst>
            <a:ext uri="{FF2B5EF4-FFF2-40B4-BE49-F238E27FC236}">
              <a16:creationId xmlns:a16="http://schemas.microsoft.com/office/drawing/2014/main" id="{C6C08960-6F48-48D0-9033-E2EE4CA9593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75018" y="26199307"/>
          <a:ext cx="8081962" cy="4102017"/>
        </a:xfrm>
        <a:prstGeom prst="rect">
          <a:avLst/>
        </a:prstGeom>
      </xdr:spPr>
    </xdr:pic>
    <xdr:clientData/>
  </xdr:twoCellAnchor>
  <xdr:twoCellAnchor editAs="oneCell">
    <xdr:from>
      <xdr:col>16</xdr:col>
      <xdr:colOff>159065</xdr:colOff>
      <xdr:row>141</xdr:row>
      <xdr:rowOff>103982</xdr:rowOff>
    </xdr:from>
    <xdr:to>
      <xdr:col>29</xdr:col>
      <xdr:colOff>164487</xdr:colOff>
      <xdr:row>164</xdr:row>
      <xdr:rowOff>35718</xdr:rowOff>
    </xdr:to>
    <xdr:pic>
      <xdr:nvPicPr>
        <xdr:cNvPr id="25" name="Picture 24" descr="June site work">
          <a:extLst>
            <a:ext uri="{FF2B5EF4-FFF2-40B4-BE49-F238E27FC236}">
              <a16:creationId xmlns:a16="http://schemas.microsoft.com/office/drawing/2014/main" id="{E501FC24-0A59-47B8-BE73-1B8FF11AA65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912665" y="26151682"/>
          <a:ext cx="7930222" cy="4167186"/>
        </a:xfrm>
        <a:prstGeom prst="rect">
          <a:avLst/>
        </a:prstGeom>
      </xdr:spPr>
    </xdr:pic>
    <xdr:clientData/>
  </xdr:twoCellAnchor>
  <xdr:oneCellAnchor>
    <xdr:from>
      <xdr:col>1</xdr:col>
      <xdr:colOff>114300</xdr:colOff>
      <xdr:row>164</xdr:row>
      <xdr:rowOff>151606</xdr:rowOff>
    </xdr:from>
    <xdr:ext cx="2250282" cy="342786"/>
    <xdr:sp macro="" textlink="">
      <xdr:nvSpPr>
        <xdr:cNvPr id="26" name="TextBox 25">
          <a:extLst>
            <a:ext uri="{FF2B5EF4-FFF2-40B4-BE49-F238E27FC236}">
              <a16:creationId xmlns:a16="http://schemas.microsoft.com/office/drawing/2014/main" id="{E0A7873C-48A4-4131-9A0B-0F3864615069}"/>
            </a:ext>
          </a:extLst>
        </xdr:cNvPr>
        <xdr:cNvSpPr txBox="1"/>
      </xdr:nvSpPr>
      <xdr:spPr>
        <a:xfrm>
          <a:off x="723900" y="30434756"/>
          <a:ext cx="225028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June 2025</a:t>
          </a:r>
        </a:p>
      </xdr:txBody>
    </xdr:sp>
    <xdr:clientData/>
  </xdr:oneCellAnchor>
  <xdr:oneCellAnchor>
    <xdr:from>
      <xdr:col>16</xdr:col>
      <xdr:colOff>131761</xdr:colOff>
      <xdr:row>164</xdr:row>
      <xdr:rowOff>146050</xdr:rowOff>
    </xdr:from>
    <xdr:ext cx="1440658" cy="342786"/>
    <xdr:sp macro="" textlink="">
      <xdr:nvSpPr>
        <xdr:cNvPr id="27" name="TextBox 26">
          <a:extLst>
            <a:ext uri="{FF2B5EF4-FFF2-40B4-BE49-F238E27FC236}">
              <a16:creationId xmlns:a16="http://schemas.microsoft.com/office/drawing/2014/main" id="{D9144825-4E8D-4654-ADE4-0CA297C25DD9}"/>
            </a:ext>
          </a:extLst>
        </xdr:cNvPr>
        <xdr:cNvSpPr txBox="1"/>
      </xdr:nvSpPr>
      <xdr:spPr>
        <a:xfrm>
          <a:off x="9885361" y="30429200"/>
          <a:ext cx="144065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June 2025</a:t>
          </a:r>
        </a:p>
      </xdr:txBody>
    </xdr:sp>
    <xdr:clientData/>
  </xdr:oneCellAnchor>
  <xdr:twoCellAnchor editAs="oneCell">
    <xdr:from>
      <xdr:col>1</xdr:col>
      <xdr:colOff>314326</xdr:colOff>
      <xdr:row>240</xdr:row>
      <xdr:rowOff>9525</xdr:rowOff>
    </xdr:from>
    <xdr:to>
      <xdr:col>13</xdr:col>
      <xdr:colOff>118354</xdr:colOff>
      <xdr:row>261</xdr:row>
      <xdr:rowOff>15760</xdr:rowOff>
    </xdr:to>
    <xdr:pic>
      <xdr:nvPicPr>
        <xdr:cNvPr id="2" name="Picture 1" descr="CTEI - December 2025">
          <a:extLst>
            <a:ext uri="{FF2B5EF4-FFF2-40B4-BE49-F238E27FC236}">
              <a16:creationId xmlns:a16="http://schemas.microsoft.com/office/drawing/2014/main" id="{8F0DC513-E667-090E-33B3-D7D334023A31}"/>
            </a:ext>
          </a:extLst>
        </xdr:cNvPr>
        <xdr:cNvPicPr>
          <a:picLocks noChangeAspect="1"/>
        </xdr:cNvPicPr>
      </xdr:nvPicPr>
      <xdr:blipFill>
        <a:blip xmlns:r="http://schemas.openxmlformats.org/officeDocument/2006/relationships" r:embed="rId12"/>
        <a:stretch>
          <a:fillRect/>
        </a:stretch>
      </xdr:blipFill>
      <xdr:spPr>
        <a:xfrm>
          <a:off x="923926" y="45805725"/>
          <a:ext cx="7119228" cy="4006735"/>
        </a:xfrm>
        <a:prstGeom prst="rect">
          <a:avLst/>
        </a:prstGeom>
      </xdr:spPr>
    </xdr:pic>
    <xdr:clientData/>
  </xdr:twoCellAnchor>
  <xdr:twoCellAnchor editAs="oneCell">
    <xdr:from>
      <xdr:col>1</xdr:col>
      <xdr:colOff>85725</xdr:colOff>
      <xdr:row>167</xdr:row>
      <xdr:rowOff>9525</xdr:rowOff>
    </xdr:from>
    <xdr:to>
      <xdr:col>13</xdr:col>
      <xdr:colOff>160540</xdr:colOff>
      <xdr:row>188</xdr:row>
      <xdr:rowOff>168160</xdr:rowOff>
    </xdr:to>
    <xdr:pic>
      <xdr:nvPicPr>
        <xdr:cNvPr id="3" name="Picture 2" descr="CTEI - December 2025">
          <a:extLst>
            <a:ext uri="{FF2B5EF4-FFF2-40B4-BE49-F238E27FC236}">
              <a16:creationId xmlns:a16="http://schemas.microsoft.com/office/drawing/2014/main" id="{E7465D9A-FABA-8D41-03FF-F3C7BF7847B2}"/>
            </a:ext>
          </a:extLst>
        </xdr:cNvPr>
        <xdr:cNvPicPr>
          <a:picLocks noChangeAspect="1"/>
        </xdr:cNvPicPr>
      </xdr:nvPicPr>
      <xdr:blipFill>
        <a:blip xmlns:r="http://schemas.openxmlformats.org/officeDocument/2006/relationships" r:embed="rId13"/>
        <a:stretch>
          <a:fillRect/>
        </a:stretch>
      </xdr:blipFill>
      <xdr:spPr>
        <a:xfrm>
          <a:off x="695325" y="31899225"/>
          <a:ext cx="7390015" cy="4159135"/>
        </a:xfrm>
        <a:prstGeom prst="rect">
          <a:avLst/>
        </a:prstGeom>
      </xdr:spPr>
    </xdr:pic>
    <xdr:clientData/>
  </xdr:twoCellAnchor>
  <xdr:twoCellAnchor editAs="oneCell">
    <xdr:from>
      <xdr:col>14</xdr:col>
      <xdr:colOff>495300</xdr:colOff>
      <xdr:row>215</xdr:row>
      <xdr:rowOff>133350</xdr:rowOff>
    </xdr:from>
    <xdr:to>
      <xdr:col>26</xdr:col>
      <xdr:colOff>570115</xdr:colOff>
      <xdr:row>237</xdr:row>
      <xdr:rowOff>101485</xdr:rowOff>
    </xdr:to>
    <xdr:pic>
      <xdr:nvPicPr>
        <xdr:cNvPr id="4" name="Picture 3" descr="CTEI - December 2025">
          <a:extLst>
            <a:ext uri="{FF2B5EF4-FFF2-40B4-BE49-F238E27FC236}">
              <a16:creationId xmlns:a16="http://schemas.microsoft.com/office/drawing/2014/main" id="{382F3014-1D0C-C260-27B7-00996FE6ABB6}"/>
            </a:ext>
          </a:extLst>
        </xdr:cNvPr>
        <xdr:cNvPicPr>
          <a:picLocks noChangeAspect="1"/>
        </xdr:cNvPicPr>
      </xdr:nvPicPr>
      <xdr:blipFill>
        <a:blip xmlns:r="http://schemas.openxmlformats.org/officeDocument/2006/relationships" r:embed="rId14"/>
        <a:stretch>
          <a:fillRect/>
        </a:stretch>
      </xdr:blipFill>
      <xdr:spPr>
        <a:xfrm>
          <a:off x="9029700" y="41167050"/>
          <a:ext cx="7390015" cy="4159135"/>
        </a:xfrm>
        <a:prstGeom prst="rect">
          <a:avLst/>
        </a:prstGeom>
      </xdr:spPr>
    </xdr:pic>
    <xdr:clientData/>
  </xdr:twoCellAnchor>
  <xdr:twoCellAnchor editAs="oneCell">
    <xdr:from>
      <xdr:col>1</xdr:col>
      <xdr:colOff>104775</xdr:colOff>
      <xdr:row>190</xdr:row>
      <xdr:rowOff>133350</xdr:rowOff>
    </xdr:from>
    <xdr:to>
      <xdr:col>13</xdr:col>
      <xdr:colOff>179590</xdr:colOff>
      <xdr:row>212</xdr:row>
      <xdr:rowOff>101485</xdr:rowOff>
    </xdr:to>
    <xdr:pic>
      <xdr:nvPicPr>
        <xdr:cNvPr id="5" name="Picture 4" descr="CTEI - December 2025">
          <a:extLst>
            <a:ext uri="{FF2B5EF4-FFF2-40B4-BE49-F238E27FC236}">
              <a16:creationId xmlns:a16="http://schemas.microsoft.com/office/drawing/2014/main" id="{DCE06250-1EF5-04D5-F899-042BBFF0A4C8}"/>
            </a:ext>
          </a:extLst>
        </xdr:cNvPr>
        <xdr:cNvPicPr>
          <a:picLocks noChangeAspect="1"/>
        </xdr:cNvPicPr>
      </xdr:nvPicPr>
      <xdr:blipFill>
        <a:blip xmlns:r="http://schemas.openxmlformats.org/officeDocument/2006/relationships" r:embed="rId15"/>
        <a:stretch>
          <a:fillRect/>
        </a:stretch>
      </xdr:blipFill>
      <xdr:spPr>
        <a:xfrm>
          <a:off x="714375" y="36404550"/>
          <a:ext cx="7390015" cy="4159135"/>
        </a:xfrm>
        <a:prstGeom prst="rect">
          <a:avLst/>
        </a:prstGeom>
      </xdr:spPr>
    </xdr:pic>
    <xdr:clientData/>
  </xdr:twoCellAnchor>
  <xdr:twoCellAnchor editAs="oneCell">
    <xdr:from>
      <xdr:col>1</xdr:col>
      <xdr:colOff>104775</xdr:colOff>
      <xdr:row>216</xdr:row>
      <xdr:rowOff>19050</xdr:rowOff>
    </xdr:from>
    <xdr:to>
      <xdr:col>13</xdr:col>
      <xdr:colOff>179590</xdr:colOff>
      <xdr:row>237</xdr:row>
      <xdr:rowOff>177685</xdr:rowOff>
    </xdr:to>
    <xdr:pic>
      <xdr:nvPicPr>
        <xdr:cNvPr id="6" name="Picture 5" descr="CTEI - December 2025">
          <a:extLst>
            <a:ext uri="{FF2B5EF4-FFF2-40B4-BE49-F238E27FC236}">
              <a16:creationId xmlns:a16="http://schemas.microsoft.com/office/drawing/2014/main" id="{9F021F5B-5324-E5C3-94F3-13D6B70E7D5F}"/>
            </a:ext>
          </a:extLst>
        </xdr:cNvPr>
        <xdr:cNvPicPr>
          <a:picLocks noChangeAspect="1"/>
        </xdr:cNvPicPr>
      </xdr:nvPicPr>
      <xdr:blipFill>
        <a:blip xmlns:r="http://schemas.openxmlformats.org/officeDocument/2006/relationships" r:embed="rId16"/>
        <a:stretch>
          <a:fillRect/>
        </a:stretch>
      </xdr:blipFill>
      <xdr:spPr>
        <a:xfrm>
          <a:off x="714375" y="41243250"/>
          <a:ext cx="7390015" cy="4159135"/>
        </a:xfrm>
        <a:prstGeom prst="rect">
          <a:avLst/>
        </a:prstGeom>
      </xdr:spPr>
    </xdr:pic>
    <xdr:clientData/>
  </xdr:twoCellAnchor>
  <xdr:twoCellAnchor editAs="oneCell">
    <xdr:from>
      <xdr:col>14</xdr:col>
      <xdr:colOff>390525</xdr:colOff>
      <xdr:row>190</xdr:row>
      <xdr:rowOff>104775</xdr:rowOff>
    </xdr:from>
    <xdr:to>
      <xdr:col>26</xdr:col>
      <xdr:colOff>465340</xdr:colOff>
      <xdr:row>212</xdr:row>
      <xdr:rowOff>72910</xdr:rowOff>
    </xdr:to>
    <xdr:pic>
      <xdr:nvPicPr>
        <xdr:cNvPr id="7" name="Picture 6" descr="CTEI - December 2025">
          <a:extLst>
            <a:ext uri="{FF2B5EF4-FFF2-40B4-BE49-F238E27FC236}">
              <a16:creationId xmlns:a16="http://schemas.microsoft.com/office/drawing/2014/main" id="{BF706CD1-6B72-E228-0B0F-1B0B066E1730}"/>
            </a:ext>
          </a:extLst>
        </xdr:cNvPr>
        <xdr:cNvPicPr>
          <a:picLocks noChangeAspect="1"/>
        </xdr:cNvPicPr>
      </xdr:nvPicPr>
      <xdr:blipFill>
        <a:blip xmlns:r="http://schemas.openxmlformats.org/officeDocument/2006/relationships" r:embed="rId17"/>
        <a:stretch>
          <a:fillRect/>
        </a:stretch>
      </xdr:blipFill>
      <xdr:spPr>
        <a:xfrm>
          <a:off x="8924925" y="36375975"/>
          <a:ext cx="7390015" cy="4159135"/>
        </a:xfrm>
        <a:prstGeom prst="rect">
          <a:avLst/>
        </a:prstGeom>
      </xdr:spPr>
    </xdr:pic>
    <xdr:clientData/>
  </xdr:twoCellAnchor>
  <xdr:twoCellAnchor editAs="oneCell">
    <xdr:from>
      <xdr:col>14</xdr:col>
      <xdr:colOff>323850</xdr:colOff>
      <xdr:row>166</xdr:row>
      <xdr:rowOff>161925</xdr:rowOff>
    </xdr:from>
    <xdr:to>
      <xdr:col>26</xdr:col>
      <xdr:colOff>398665</xdr:colOff>
      <xdr:row>188</xdr:row>
      <xdr:rowOff>130060</xdr:rowOff>
    </xdr:to>
    <xdr:pic>
      <xdr:nvPicPr>
        <xdr:cNvPr id="8" name="Picture 7" descr="CTEI - December 2025">
          <a:extLst>
            <a:ext uri="{FF2B5EF4-FFF2-40B4-BE49-F238E27FC236}">
              <a16:creationId xmlns:a16="http://schemas.microsoft.com/office/drawing/2014/main" id="{941525AF-2C1F-5156-A771-471F7E1C56AB}"/>
            </a:ext>
          </a:extLst>
        </xdr:cNvPr>
        <xdr:cNvPicPr>
          <a:picLocks noChangeAspect="1"/>
        </xdr:cNvPicPr>
      </xdr:nvPicPr>
      <xdr:blipFill>
        <a:blip xmlns:r="http://schemas.openxmlformats.org/officeDocument/2006/relationships" r:embed="rId18"/>
        <a:stretch>
          <a:fillRect/>
        </a:stretch>
      </xdr:blipFill>
      <xdr:spPr>
        <a:xfrm>
          <a:off x="8858250" y="31861125"/>
          <a:ext cx="7390015" cy="4159135"/>
        </a:xfrm>
        <a:prstGeom prst="rect">
          <a:avLst/>
        </a:prstGeom>
      </xdr:spPr>
    </xdr:pic>
    <xdr:clientData/>
  </xdr:twoCellAnchor>
  <xdr:twoCellAnchor editAs="oneCell">
    <xdr:from>
      <xdr:col>14</xdr:col>
      <xdr:colOff>352425</xdr:colOff>
      <xdr:row>240</xdr:row>
      <xdr:rowOff>57150</xdr:rowOff>
    </xdr:from>
    <xdr:to>
      <xdr:col>27</xdr:col>
      <xdr:colOff>200025</xdr:colOff>
      <xdr:row>261</xdr:row>
      <xdr:rowOff>7371</xdr:rowOff>
    </xdr:to>
    <xdr:pic>
      <xdr:nvPicPr>
        <xdr:cNvPr id="10" name="Picture 9" descr="CTEI - December 2025">
          <a:extLst>
            <a:ext uri="{FF2B5EF4-FFF2-40B4-BE49-F238E27FC236}">
              <a16:creationId xmlns:a16="http://schemas.microsoft.com/office/drawing/2014/main" id="{358779CD-6F40-C582-A541-5D05B5E28AAD}"/>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886825" y="45853350"/>
          <a:ext cx="7772400" cy="3950721"/>
        </a:xfrm>
        <a:prstGeom prst="rect">
          <a:avLst/>
        </a:prstGeom>
      </xdr:spPr>
    </xdr:pic>
    <xdr:clientData/>
  </xdr:twoCellAnchor>
  <xdr:oneCellAnchor>
    <xdr:from>
      <xdr:col>12</xdr:col>
      <xdr:colOff>95250</xdr:colOff>
      <xdr:row>262</xdr:row>
      <xdr:rowOff>76201</xdr:rowOff>
    </xdr:from>
    <xdr:ext cx="2524124" cy="361950"/>
    <xdr:sp macro="" textlink="">
      <xdr:nvSpPr>
        <xdr:cNvPr id="11" name="TextBox 10">
          <a:extLst>
            <a:ext uri="{FF2B5EF4-FFF2-40B4-BE49-F238E27FC236}">
              <a16:creationId xmlns:a16="http://schemas.microsoft.com/office/drawing/2014/main" id="{4DD2FEF3-57F2-8F79-BEBB-2670C3436649}"/>
            </a:ext>
          </a:extLst>
        </xdr:cNvPr>
        <xdr:cNvSpPr txBox="1"/>
      </xdr:nvSpPr>
      <xdr:spPr>
        <a:xfrm>
          <a:off x="7410450" y="50063401"/>
          <a:ext cx="2524124"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000" b="1"/>
            <a:t>December 2025</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peters@wvc.ed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zoomScaleNormal="100" workbookViewId="0"/>
  </sheetViews>
  <sheetFormatPr defaultColWidth="9.2695312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4" t="s">
        <v>0</v>
      </c>
      <c r="C1" s="124"/>
      <c r="D1" s="124"/>
      <c r="E1" s="124"/>
      <c r="F1" s="124"/>
      <c r="G1" s="124"/>
      <c r="H1" s="124"/>
      <c r="I1" s="124"/>
      <c r="J1" s="52"/>
    </row>
    <row r="2" spans="1:10" x14ac:dyDescent="0.35">
      <c r="A2" s="53"/>
      <c r="B2" s="97"/>
      <c r="C2" s="97"/>
      <c r="D2" s="97"/>
      <c r="E2" s="97" t="s">
        <v>1</v>
      </c>
      <c r="F2" s="97"/>
      <c r="G2" s="97"/>
      <c r="H2" s="97"/>
      <c r="I2" s="97"/>
      <c r="J2" s="54"/>
    </row>
    <row r="3" spans="1:10" ht="21" x14ac:dyDescent="0.5">
      <c r="A3" s="53"/>
      <c r="B3" s="125" t="s">
        <v>2</v>
      </c>
      <c r="C3" s="125"/>
      <c r="D3" s="125"/>
      <c r="E3" s="125"/>
      <c r="F3" s="125"/>
      <c r="G3" s="125"/>
      <c r="H3" s="125"/>
      <c r="I3" s="125"/>
      <c r="J3" s="98"/>
    </row>
    <row r="4" spans="1:10" ht="21" customHeight="1" x14ac:dyDescent="0.5">
      <c r="A4" s="55"/>
      <c r="B4" s="123" t="s">
        <v>185</v>
      </c>
      <c r="C4" s="123"/>
      <c r="D4" s="123"/>
      <c r="E4" s="123"/>
      <c r="F4" s="123"/>
      <c r="G4" s="123"/>
      <c r="H4" s="123"/>
      <c r="I4" s="123"/>
      <c r="J4" s="99"/>
    </row>
    <row r="5" spans="1:10" s="1" customFormat="1" x14ac:dyDescent="0.35">
      <c r="A5" s="56"/>
      <c r="B5" t="s">
        <v>4</v>
      </c>
      <c r="C5" s="189">
        <v>699</v>
      </c>
      <c r="D5" s="189"/>
      <c r="E5" s="189"/>
      <c r="F5" s="189"/>
      <c r="G5" s="189"/>
      <c r="H5" s="189"/>
      <c r="J5" s="57"/>
    </row>
    <row r="6" spans="1:10" s="1" customFormat="1" x14ac:dyDescent="0.35">
      <c r="A6" s="56"/>
      <c r="B6" t="s">
        <v>5</v>
      </c>
      <c r="C6" s="191" t="s">
        <v>186</v>
      </c>
      <c r="D6" s="192"/>
      <c r="E6" s="192"/>
      <c r="F6" s="192"/>
      <c r="G6" s="192"/>
      <c r="H6" s="193"/>
      <c r="J6" s="57"/>
    </row>
    <row r="7" spans="1:10" s="1" customFormat="1" ht="15" thickBot="1" x14ac:dyDescent="0.4">
      <c r="A7" s="58"/>
      <c r="B7" s="59" t="s">
        <v>6</v>
      </c>
      <c r="C7" s="190">
        <v>40000198</v>
      </c>
      <c r="D7" s="190"/>
      <c r="E7" s="190"/>
      <c r="F7" s="190"/>
      <c r="G7" s="190"/>
      <c r="H7" s="190"/>
      <c r="I7" s="60"/>
      <c r="J7" s="61"/>
    </row>
    <row r="8" spans="1:10" s="1" customFormat="1" ht="10.15" customHeight="1" thickTop="1" x14ac:dyDescent="0.35">
      <c r="A8" s="56"/>
      <c r="B8"/>
      <c r="C8"/>
      <c r="D8" s="113"/>
      <c r="J8" s="57"/>
    </row>
    <row r="9" spans="1:10" s="1" customFormat="1" x14ac:dyDescent="0.35">
      <c r="A9" s="56"/>
      <c r="B9" s="126" t="s">
        <v>7</v>
      </c>
      <c r="C9" s="127"/>
      <c r="D9" s="127"/>
      <c r="E9" s="127"/>
      <c r="F9" s="127"/>
      <c r="G9" s="127"/>
      <c r="H9" s="127"/>
      <c r="I9" s="128"/>
      <c r="J9" s="57"/>
    </row>
    <row r="10" spans="1:10" s="1" customFormat="1" x14ac:dyDescent="0.35">
      <c r="A10" s="56"/>
      <c r="B10" s="15" t="s">
        <v>8</v>
      </c>
      <c r="C10" s="189" t="s">
        <v>187</v>
      </c>
      <c r="D10" s="189"/>
      <c r="E10" s="189"/>
      <c r="F10" s="189"/>
      <c r="G10" s="189"/>
      <c r="H10" s="189"/>
      <c r="I10" s="62"/>
      <c r="J10" s="57"/>
    </row>
    <row r="11" spans="1:10" s="1" customFormat="1" x14ac:dyDescent="0.35">
      <c r="A11" s="56"/>
      <c r="B11" s="15" t="s">
        <v>9</v>
      </c>
      <c r="C11" s="208" t="s">
        <v>188</v>
      </c>
      <c r="D11" s="208"/>
      <c r="E11" s="208"/>
      <c r="F11" s="208"/>
      <c r="G11" s="208"/>
      <c r="H11" s="208"/>
      <c r="I11" s="62"/>
      <c r="J11" s="57"/>
    </row>
    <row r="12" spans="1:10" s="1" customFormat="1" x14ac:dyDescent="0.35">
      <c r="A12" s="56"/>
      <c r="B12" s="18" t="s">
        <v>10</v>
      </c>
      <c r="C12" s="209" t="s">
        <v>189</v>
      </c>
      <c r="D12" s="209"/>
      <c r="E12" s="209"/>
      <c r="F12" s="209"/>
      <c r="G12" s="209"/>
      <c r="H12" s="209"/>
      <c r="I12" s="63"/>
      <c r="J12" s="57"/>
    </row>
    <row r="13" spans="1:10" ht="10.15" customHeight="1" thickBot="1" x14ac:dyDescent="0.4">
      <c r="A13" s="53"/>
      <c r="D13" s="64"/>
      <c r="J13" s="54"/>
    </row>
    <row r="14" spans="1:10" s="65" customFormat="1" ht="27" customHeight="1" thickTop="1" thickBot="1" x14ac:dyDescent="0.4">
      <c r="A14" s="129" t="s">
        <v>11</v>
      </c>
      <c r="B14" s="130"/>
      <c r="C14" s="130"/>
      <c r="D14" s="130"/>
      <c r="E14" s="130"/>
      <c r="F14" s="130"/>
      <c r="G14" s="130"/>
      <c r="H14" s="130"/>
      <c r="I14" s="130"/>
      <c r="J14" s="131"/>
    </row>
    <row r="15" spans="1:10" ht="10.15" customHeight="1" thickTop="1" x14ac:dyDescent="0.35">
      <c r="A15" s="53"/>
      <c r="D15" s="64"/>
      <c r="J15" s="54"/>
    </row>
    <row r="16" spans="1:10" ht="54" customHeight="1" x14ac:dyDescent="0.35">
      <c r="A16" s="53"/>
      <c r="B16" s="179" t="s">
        <v>203</v>
      </c>
      <c r="C16" s="176" t="s">
        <v>190</v>
      </c>
      <c r="D16" s="177"/>
      <c r="E16" s="177"/>
      <c r="F16" s="177"/>
      <c r="G16" s="177"/>
      <c r="H16" s="177"/>
      <c r="I16" s="178"/>
      <c r="J16" s="54"/>
    </row>
    <row r="17" spans="1:10" ht="7" customHeight="1" x14ac:dyDescent="0.35">
      <c r="A17" s="53"/>
      <c r="B17" s="147"/>
      <c r="C17" s="170"/>
      <c r="D17" s="171"/>
      <c r="E17" s="171"/>
      <c r="F17" s="171"/>
      <c r="G17" s="171"/>
      <c r="H17" s="171"/>
      <c r="I17" s="172"/>
      <c r="J17" s="54"/>
    </row>
    <row r="18" spans="1:10" ht="7" customHeight="1" x14ac:dyDescent="0.35">
      <c r="A18" s="53"/>
      <c r="B18" s="147"/>
      <c r="C18" s="170"/>
      <c r="D18" s="171"/>
      <c r="E18" s="171"/>
      <c r="F18" s="171"/>
      <c r="G18" s="171"/>
      <c r="H18" s="171"/>
      <c r="I18" s="172"/>
      <c r="J18" s="54"/>
    </row>
    <row r="19" spans="1:10" ht="7" customHeight="1" x14ac:dyDescent="0.35">
      <c r="A19" s="53"/>
      <c r="B19" s="147"/>
      <c r="C19" s="173"/>
      <c r="D19" s="174"/>
      <c r="E19" s="174"/>
      <c r="F19" s="174"/>
      <c r="G19" s="174"/>
      <c r="H19" s="174"/>
      <c r="I19" s="175"/>
      <c r="J19" s="54"/>
    </row>
    <row r="20" spans="1:10" ht="10.15" customHeight="1" x14ac:dyDescent="0.35">
      <c r="A20" s="53"/>
      <c r="B20" s="66"/>
      <c r="C20" s="67"/>
      <c r="D20" s="67"/>
      <c r="E20" s="67"/>
      <c r="F20" s="67"/>
      <c r="G20" s="67"/>
      <c r="H20" s="67"/>
      <c r="I20" s="87"/>
      <c r="J20" s="54"/>
    </row>
    <row r="21" spans="1:10" ht="92" customHeight="1" x14ac:dyDescent="0.35">
      <c r="A21" s="53"/>
      <c r="B21" s="180" t="s">
        <v>204</v>
      </c>
      <c r="C21" s="176" t="s">
        <v>202</v>
      </c>
      <c r="D21" s="177"/>
      <c r="E21" s="177"/>
      <c r="F21" s="177"/>
      <c r="G21" s="177"/>
      <c r="H21" s="177"/>
      <c r="I21" s="178"/>
      <c r="J21" s="54"/>
    </row>
    <row r="22" spans="1:10" ht="6" customHeight="1" x14ac:dyDescent="0.35">
      <c r="A22" s="53"/>
      <c r="B22" s="145"/>
      <c r="C22" s="170"/>
      <c r="D22" s="171"/>
      <c r="E22" s="171"/>
      <c r="F22" s="171"/>
      <c r="G22" s="171"/>
      <c r="H22" s="171"/>
      <c r="I22" s="172"/>
      <c r="J22" s="54"/>
    </row>
    <row r="23" spans="1:10" ht="6" customHeight="1" x14ac:dyDescent="0.35">
      <c r="A23" s="53"/>
      <c r="B23" s="145"/>
      <c r="C23" s="170"/>
      <c r="D23" s="171"/>
      <c r="E23" s="171"/>
      <c r="F23" s="171"/>
      <c r="G23" s="171"/>
      <c r="H23" s="171"/>
      <c r="I23" s="172"/>
      <c r="J23" s="54"/>
    </row>
    <row r="24" spans="1:10" ht="6" customHeight="1" x14ac:dyDescent="0.35">
      <c r="A24" s="53"/>
      <c r="B24" s="145"/>
      <c r="C24" s="170"/>
      <c r="D24" s="171"/>
      <c r="E24" s="171"/>
      <c r="F24" s="171"/>
      <c r="G24" s="171"/>
      <c r="H24" s="171"/>
      <c r="I24" s="172"/>
      <c r="J24" s="54"/>
    </row>
    <row r="25" spans="1:10" ht="6" customHeight="1" x14ac:dyDescent="0.35">
      <c r="A25" s="53"/>
      <c r="B25" s="145"/>
      <c r="C25" s="170"/>
      <c r="D25" s="171"/>
      <c r="E25" s="171"/>
      <c r="F25" s="171"/>
      <c r="G25" s="171"/>
      <c r="H25" s="171"/>
      <c r="I25" s="172"/>
      <c r="J25" s="54"/>
    </row>
    <row r="26" spans="1:10" ht="6" customHeight="1" x14ac:dyDescent="0.35">
      <c r="A26" s="53"/>
      <c r="B26" s="145"/>
      <c r="C26" s="170"/>
      <c r="D26" s="171"/>
      <c r="E26" s="171"/>
      <c r="F26" s="171"/>
      <c r="G26" s="171"/>
      <c r="H26" s="171"/>
      <c r="I26" s="172"/>
      <c r="J26" s="54"/>
    </row>
    <row r="27" spans="1:10" ht="5.25" customHeight="1" x14ac:dyDescent="0.35">
      <c r="A27" s="53"/>
      <c r="B27" s="146"/>
      <c r="C27" s="173"/>
      <c r="D27" s="174"/>
      <c r="E27" s="174"/>
      <c r="F27" s="174"/>
      <c r="G27" s="174"/>
      <c r="H27" s="174"/>
      <c r="I27" s="175"/>
      <c r="J27" s="54"/>
    </row>
    <row r="28" spans="1:10" ht="10.15" customHeight="1" x14ac:dyDescent="0.35">
      <c r="A28" s="53"/>
      <c r="D28" s="64"/>
      <c r="J28" s="54"/>
    </row>
    <row r="29" spans="1:10" s="1" customFormat="1" x14ac:dyDescent="0.35">
      <c r="A29" s="56"/>
      <c r="B29" s="126" t="s">
        <v>12</v>
      </c>
      <c r="C29" s="127"/>
      <c r="D29" s="127"/>
      <c r="E29" s="127"/>
      <c r="F29" s="127"/>
      <c r="G29" s="127"/>
      <c r="H29" s="127"/>
      <c r="I29" s="128"/>
      <c r="J29" s="57"/>
    </row>
    <row r="30" spans="1:10" ht="15" customHeight="1" x14ac:dyDescent="0.35">
      <c r="A30" s="53"/>
      <c r="B30" s="68"/>
      <c r="C30" s="132" t="s">
        <v>13</v>
      </c>
      <c r="D30" s="133"/>
      <c r="E30" s="133"/>
      <c r="F30" s="133"/>
      <c r="G30" s="134"/>
      <c r="H30" s="134"/>
      <c r="I30" s="148"/>
      <c r="J30" s="54"/>
    </row>
    <row r="31" spans="1:10" ht="15" customHeight="1" thickBot="1" x14ac:dyDescent="0.4">
      <c r="A31" s="53"/>
      <c r="B31" s="68"/>
      <c r="C31" s="132" t="s">
        <v>14</v>
      </c>
      <c r="D31" s="135"/>
      <c r="E31" s="132" t="s">
        <v>15</v>
      </c>
      <c r="F31" s="133"/>
      <c r="G31" s="133"/>
      <c r="H31" s="13"/>
      <c r="I31" s="149"/>
      <c r="J31" s="54"/>
    </row>
    <row r="32" spans="1:10" s="1" customFormat="1" ht="29" x14ac:dyDescent="0.35">
      <c r="A32" s="56"/>
      <c r="B32" s="10" t="s">
        <v>18</v>
      </c>
      <c r="C32" s="69" t="s">
        <v>19</v>
      </c>
      <c r="D32" s="4" t="s">
        <v>20</v>
      </c>
      <c r="E32" s="4" t="s">
        <v>21</v>
      </c>
      <c r="F32" s="4" t="s">
        <v>22</v>
      </c>
      <c r="G32" s="5" t="s">
        <v>23</v>
      </c>
      <c r="H32" s="118" t="s">
        <v>16</v>
      </c>
      <c r="I32" s="119"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200</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3243696.31</v>
      </c>
      <c r="D38" s="45">
        <f>SUM(D39:D42)</f>
        <v>0</v>
      </c>
      <c r="E38" s="45">
        <f>SUM(E39:E42)</f>
        <v>0</v>
      </c>
      <c r="F38" s="45">
        <f>SUM(F39:F42)</f>
        <v>0</v>
      </c>
      <c r="G38" s="46">
        <f>SUM(G39:G42)</f>
        <v>0</v>
      </c>
      <c r="H38" s="47">
        <f>SUM(C38:G38)</f>
        <v>3243696.31</v>
      </c>
      <c r="I38" s="7"/>
      <c r="J38" s="54"/>
    </row>
    <row r="39" spans="1:10" x14ac:dyDescent="0.35">
      <c r="A39" s="53"/>
      <c r="B39" s="8" t="s">
        <v>200</v>
      </c>
      <c r="C39" s="100">
        <v>3243696.31</v>
      </c>
      <c r="D39" s="101"/>
      <c r="E39" s="101"/>
      <c r="F39" s="101"/>
      <c r="G39" s="102"/>
      <c r="H39" s="9">
        <f>SUM(C39:G39)</f>
        <v>3243696.31</v>
      </c>
      <c r="I39" s="103" t="s">
        <v>193</v>
      </c>
      <c r="J39" s="54"/>
    </row>
    <row r="40" spans="1:10" x14ac:dyDescent="0.35">
      <c r="A40" s="53"/>
      <c r="B40" s="96" t="s">
        <v>25</v>
      </c>
      <c r="C40" s="100"/>
      <c r="D40" s="101"/>
      <c r="E40" s="101"/>
      <c r="F40" s="101"/>
      <c r="G40" s="102"/>
      <c r="H40" s="9">
        <f>SUM(C40:G40)</f>
        <v>0</v>
      </c>
      <c r="I40" s="103"/>
      <c r="J40" s="54"/>
    </row>
    <row r="41" spans="1:10" x14ac:dyDescent="0.35">
      <c r="A41" s="53"/>
      <c r="B41" s="96" t="s">
        <v>26</v>
      </c>
      <c r="C41" s="100"/>
      <c r="D41" s="101"/>
      <c r="E41" s="101"/>
      <c r="F41" s="101"/>
      <c r="G41" s="102"/>
      <c r="H41" s="9">
        <f t="shared" ref="H41:H42" si="1">SUM(C41:G41)</f>
        <v>0</v>
      </c>
      <c r="I41" s="103"/>
      <c r="J41" s="54"/>
    </row>
    <row r="42" spans="1:10" x14ac:dyDescent="0.35">
      <c r="A42" s="53"/>
      <c r="B42" s="95" t="s">
        <v>27</v>
      </c>
      <c r="C42" s="100"/>
      <c r="D42" s="101"/>
      <c r="E42" s="101"/>
      <c r="F42" s="101"/>
      <c r="G42" s="102"/>
      <c r="H42" s="9">
        <f t="shared" si="1"/>
        <v>0</v>
      </c>
      <c r="I42" s="103"/>
      <c r="J42" s="54"/>
    </row>
    <row r="43" spans="1:10" x14ac:dyDescent="0.35">
      <c r="A43" s="53"/>
      <c r="B43" s="6" t="s">
        <v>29</v>
      </c>
      <c r="C43" s="45">
        <f>SUM(C44:C48)</f>
        <v>4437556.37</v>
      </c>
      <c r="D43" s="45">
        <f>SUM(D44:D48)</f>
        <v>12910362.890000001</v>
      </c>
      <c r="E43" s="45">
        <f>SUM(E44:E48)</f>
        <v>28440674.739999998</v>
      </c>
      <c r="F43" s="45">
        <f>SUM(F44:F48)</f>
        <v>2420365</v>
      </c>
      <c r="G43" s="46">
        <f>SUM(G44:G48)</f>
        <v>4000000</v>
      </c>
      <c r="H43" s="47">
        <f>SUM(C43:G43)</f>
        <v>52208959</v>
      </c>
      <c r="I43" s="7"/>
      <c r="J43" s="54"/>
    </row>
    <row r="44" spans="1:10" x14ac:dyDescent="0.35">
      <c r="A44" s="53"/>
      <c r="B44" s="8" t="s">
        <v>200</v>
      </c>
      <c r="C44" s="100">
        <v>4437556.37</v>
      </c>
      <c r="D44" s="101">
        <v>12910362.890000001</v>
      </c>
      <c r="E44" s="101">
        <f>28418370.74+22304</f>
        <v>28440674.739999998</v>
      </c>
      <c r="F44" s="101">
        <v>2420365</v>
      </c>
      <c r="G44" s="102"/>
      <c r="H44" s="9">
        <f>SUM(C44:G44)</f>
        <v>48208959</v>
      </c>
      <c r="I44" s="103" t="s">
        <v>194</v>
      </c>
      <c r="J44" s="54"/>
    </row>
    <row r="45" spans="1:10" x14ac:dyDescent="0.35">
      <c r="A45" s="53"/>
      <c r="B45" s="96" t="s">
        <v>25</v>
      </c>
      <c r="C45" s="100"/>
      <c r="D45" s="101"/>
      <c r="E45" s="101"/>
      <c r="F45" s="101"/>
      <c r="G45" s="102"/>
      <c r="H45" s="9">
        <f>SUM(C45:G45)</f>
        <v>0</v>
      </c>
      <c r="I45" s="103"/>
      <c r="J45" s="54"/>
    </row>
    <row r="46" spans="1:10" x14ac:dyDescent="0.35">
      <c r="A46" s="53"/>
      <c r="B46" s="96" t="s">
        <v>191</v>
      </c>
      <c r="C46" s="100"/>
      <c r="D46" s="101"/>
      <c r="E46" s="101"/>
      <c r="F46" s="101"/>
      <c r="G46" s="102">
        <v>700000</v>
      </c>
      <c r="H46" s="9">
        <f t="shared" ref="H46" si="2">SUM(C46:G46)</f>
        <v>700000</v>
      </c>
      <c r="I46" s="103" t="s">
        <v>195</v>
      </c>
      <c r="J46" s="54"/>
    </row>
    <row r="47" spans="1:10" x14ac:dyDescent="0.35">
      <c r="A47" s="53"/>
      <c r="B47" s="96" t="s">
        <v>191</v>
      </c>
      <c r="C47" s="100"/>
      <c r="D47" s="101"/>
      <c r="E47" s="101"/>
      <c r="F47" s="101"/>
      <c r="G47" s="102">
        <v>3300000</v>
      </c>
      <c r="H47" s="9">
        <f t="shared" ref="H47:H48" si="3">SUM(C47:G47)</f>
        <v>3300000</v>
      </c>
      <c r="I47" s="103" t="s">
        <v>192</v>
      </c>
      <c r="J47" s="54"/>
    </row>
    <row r="48" spans="1:10" x14ac:dyDescent="0.35">
      <c r="A48" s="53"/>
      <c r="B48" s="95" t="s">
        <v>27</v>
      </c>
      <c r="C48" s="100"/>
      <c r="D48" s="101"/>
      <c r="E48" s="101"/>
      <c r="F48" s="101"/>
      <c r="G48" s="102"/>
      <c r="H48" s="9">
        <f t="shared" si="3"/>
        <v>0</v>
      </c>
      <c r="I48" s="103"/>
      <c r="J48" s="54"/>
    </row>
    <row r="49" spans="1:10" s="1" customFormat="1" ht="15" thickBot="1" x14ac:dyDescent="0.4">
      <c r="A49" s="56"/>
      <c r="B49" s="10" t="s">
        <v>30</v>
      </c>
      <c r="C49" s="48">
        <f>C33+C38+C43</f>
        <v>7681252.6799999997</v>
      </c>
      <c r="D49" s="48">
        <f>D33+D38+D43</f>
        <v>12910362.890000001</v>
      </c>
      <c r="E49" s="48">
        <f>E33+E38+E43</f>
        <v>28440674.739999998</v>
      </c>
      <c r="F49" s="48">
        <f>F33+F38+F43</f>
        <v>2420365</v>
      </c>
      <c r="G49" s="49">
        <f>G33+G38+G43</f>
        <v>4000000</v>
      </c>
      <c r="H49" s="50">
        <f>SUM(C49:G49)</f>
        <v>55452655.310000002</v>
      </c>
      <c r="I49" s="7"/>
      <c r="J49" s="57"/>
    </row>
    <row r="50" spans="1:10" s="1" customFormat="1" ht="10.15" customHeight="1" x14ac:dyDescent="0.35">
      <c r="A50" s="56"/>
      <c r="C50" s="70"/>
      <c r="D50" s="70"/>
      <c r="J50" s="57"/>
    </row>
    <row r="51" spans="1:10" s="1" customFormat="1" x14ac:dyDescent="0.35">
      <c r="A51" s="56"/>
      <c r="B51" s="136" t="s">
        <v>31</v>
      </c>
      <c r="C51" s="137"/>
      <c r="D51" s="137"/>
      <c r="E51" s="137"/>
      <c r="F51" s="137"/>
      <c r="G51" s="137"/>
      <c r="H51" s="137"/>
      <c r="I51" s="138"/>
      <c r="J51" s="57"/>
    </row>
    <row r="52" spans="1:10" x14ac:dyDescent="0.35">
      <c r="A52" s="53"/>
      <c r="B52" s="71" t="s">
        <v>32</v>
      </c>
      <c r="C52" s="213" t="s">
        <v>179</v>
      </c>
      <c r="D52" s="213"/>
      <c r="E52" s="212" t="s">
        <v>33</v>
      </c>
      <c r="F52" s="212"/>
      <c r="G52" s="210" t="s">
        <v>93</v>
      </c>
      <c r="H52" s="210"/>
      <c r="I52" s="16"/>
      <c r="J52" s="54"/>
    </row>
    <row r="53" spans="1:10" x14ac:dyDescent="0.35">
      <c r="A53" s="53"/>
      <c r="B53" s="15" t="s">
        <v>201</v>
      </c>
      <c r="C53" s="214">
        <v>0</v>
      </c>
      <c r="D53" s="215"/>
      <c r="E53" t="s">
        <v>34</v>
      </c>
      <c r="G53" s="211" t="s">
        <v>92</v>
      </c>
      <c r="H53" s="211"/>
      <c r="I53" s="16"/>
      <c r="J53" s="54"/>
    </row>
    <row r="54" spans="1:10" x14ac:dyDescent="0.35">
      <c r="A54" s="53"/>
      <c r="B54" s="18" t="s">
        <v>35</v>
      </c>
      <c r="C54" s="211" t="s">
        <v>95</v>
      </c>
      <c r="D54" s="211"/>
      <c r="E54" s="19" t="s">
        <v>36</v>
      </c>
      <c r="F54" s="19"/>
      <c r="G54" s="211" t="s">
        <v>92</v>
      </c>
      <c r="H54" s="211"/>
      <c r="I54" s="20"/>
      <c r="J54" s="54"/>
    </row>
    <row r="55" spans="1:10" ht="10.15" customHeight="1" x14ac:dyDescent="0.35">
      <c r="A55" s="53"/>
      <c r="J55" s="54"/>
    </row>
    <row r="56" spans="1:10" x14ac:dyDescent="0.35">
      <c r="A56" s="53"/>
      <c r="B56" s="136" t="s">
        <v>37</v>
      </c>
      <c r="C56" s="137"/>
      <c r="D56" s="137"/>
      <c r="E56" s="137"/>
      <c r="F56" s="137"/>
      <c r="G56" s="137"/>
      <c r="H56" s="137"/>
      <c r="I56" s="138"/>
      <c r="J56" s="54"/>
    </row>
    <row r="57" spans="1:10" ht="75" customHeight="1" x14ac:dyDescent="0.35">
      <c r="A57" s="53"/>
      <c r="B57" s="144" t="s">
        <v>38</v>
      </c>
      <c r="C57" s="144"/>
      <c r="D57" s="144"/>
      <c r="E57" s="69" t="s">
        <v>39</v>
      </c>
      <c r="F57" s="69" t="s">
        <v>40</v>
      </c>
      <c r="G57" s="69" t="str">
        <f>IF(FCOR=TRUE, "Actuals at Final Completion", "Actuals to Date")</f>
        <v>Actuals to Date</v>
      </c>
      <c r="H57" s="88" t="s">
        <v>41</v>
      </c>
      <c r="I57" s="11" t="s">
        <v>17</v>
      </c>
      <c r="J57" s="54"/>
    </row>
    <row r="58" spans="1:10" x14ac:dyDescent="0.35">
      <c r="A58" s="53"/>
      <c r="B58" s="12" t="s">
        <v>42</v>
      </c>
      <c r="C58" s="13"/>
      <c r="D58" s="14"/>
      <c r="E58" s="159">
        <v>69980</v>
      </c>
      <c r="F58" s="159">
        <v>61085</v>
      </c>
      <c r="G58" s="105"/>
      <c r="H58" s="89">
        <f>IF($H$57=Lists!$D$8, IFERROR(F58-E58, ""), IF($H$57=Lists!$D$9, IFERROR(G58-E58, ""), IFERROR(G58-F58, "")))</f>
        <v>-61085</v>
      </c>
      <c r="I58" s="112"/>
      <c r="J58" s="54"/>
    </row>
    <row r="59" spans="1:10" x14ac:dyDescent="0.35">
      <c r="A59" s="53"/>
      <c r="B59" s="15" t="s">
        <v>43</v>
      </c>
      <c r="D59" s="16"/>
      <c r="E59" s="159">
        <v>54190</v>
      </c>
      <c r="F59" s="159">
        <v>44722</v>
      </c>
      <c r="G59" s="105"/>
      <c r="H59" s="89">
        <f>IF($H$57=Lists!$D$8, IFERROR(F59-E59, ""), IF($H$57=Lists!$D$9, IFERROR(G59-E59, ""), IFERROR(G59-F59, "")))</f>
        <v>-44722</v>
      </c>
      <c r="I59" s="112"/>
      <c r="J59" s="54"/>
    </row>
    <row r="60" spans="1:10" x14ac:dyDescent="0.35">
      <c r="A60" s="53"/>
      <c r="B60" s="15" t="s">
        <v>44</v>
      </c>
      <c r="D60" s="16"/>
      <c r="E60" s="17">
        <f>IFERROR(E59/E58, "")</f>
        <v>0.77436410402972278</v>
      </c>
      <c r="F60" s="17">
        <f t="shared" ref="F60:G60" si="4">IFERROR(F59/F58, "")</f>
        <v>0.73212736350986329</v>
      </c>
      <c r="G60" s="17" t="str">
        <f t="shared" si="4"/>
        <v/>
      </c>
      <c r="H60" s="90" t="str">
        <f t="shared" ref="H60" si="5">IFERROR(G60-F60, "")</f>
        <v/>
      </c>
      <c r="I60" s="72"/>
      <c r="J60" s="54"/>
    </row>
    <row r="61" spans="1:10" x14ac:dyDescent="0.35">
      <c r="A61" s="53"/>
      <c r="B61" s="15" t="s">
        <v>45</v>
      </c>
      <c r="D61" s="16"/>
      <c r="E61" s="104"/>
      <c r="F61" s="104"/>
      <c r="G61" s="105"/>
      <c r="H61" s="91">
        <f>IF($H$57=Lists!$D$8, IFERROR(F61-E61, ""), IF($H$57=Lists!$D$9, IFERROR(G61-E61, ""), IFERROR(G61-F61, "")))</f>
        <v>0</v>
      </c>
      <c r="I61" s="112"/>
      <c r="J61" s="54"/>
    </row>
    <row r="62" spans="1:10" x14ac:dyDescent="0.35">
      <c r="A62" s="53"/>
      <c r="B62" s="18" t="s">
        <v>46</v>
      </c>
      <c r="C62" s="19"/>
      <c r="D62" s="20"/>
      <c r="E62" s="160">
        <v>53596</v>
      </c>
      <c r="F62" s="160">
        <v>53596</v>
      </c>
      <c r="G62" s="105"/>
      <c r="H62" s="91">
        <f>IF($H$57=Lists!$D$8, IFERROR(F62-E62, ""), IF($H$57=Lists!$D$9, IFERROR(G62-E62, ""), IFERROR(G62-F62, "")))</f>
        <v>-53596</v>
      </c>
      <c r="I62" s="157" t="s">
        <v>196</v>
      </c>
      <c r="J62" s="54"/>
    </row>
    <row r="63" spans="1:10" x14ac:dyDescent="0.35">
      <c r="A63" s="53"/>
      <c r="B63" s="15" t="s">
        <v>47</v>
      </c>
      <c r="E63" s="21">
        <f>IFERROR(E92/E58, "")</f>
        <v>499.21724778508144</v>
      </c>
      <c r="F63" s="21">
        <f>IFERROR(F92/F58, "")</f>
        <v>730.88540558238515</v>
      </c>
      <c r="G63" s="21" t="str">
        <f>IFERROR(G92/G58, "")</f>
        <v/>
      </c>
      <c r="H63" s="92" t="str">
        <f>IF($H$57=Lists!$D$8, IFERROR(F63-E63, ""), IF($H$57=Lists!$D$9, IFERROR(G63-E63, ""), IFERROR(G63-F63, "")))</f>
        <v/>
      </c>
      <c r="I63" s="73"/>
      <c r="J63" s="54"/>
    </row>
    <row r="64" spans="1:10" x14ac:dyDescent="0.35">
      <c r="A64" s="53"/>
      <c r="B64" s="18" t="s">
        <v>48</v>
      </c>
      <c r="C64" s="19"/>
      <c r="D64" s="20"/>
      <c r="E64" s="22">
        <f>IFERROR(E98/E58, "")</f>
        <v>569.31366104601318</v>
      </c>
      <c r="F64" s="22">
        <f>IFERROR(F98/F58, "")</f>
        <v>825.59600556601458</v>
      </c>
      <c r="G64" s="22" t="str">
        <f>IFERROR(G98/G58, "")</f>
        <v/>
      </c>
      <c r="H64" s="92" t="str">
        <f>IF($H$57=Lists!$D$8, IFERROR(F64-E64, ""), IF($H$57=Lists!$D$9, IFERROR(G64-E64, ""), IFERROR(G64-F64, "")))</f>
        <v/>
      </c>
      <c r="I64" s="74"/>
      <c r="J64" s="54"/>
    </row>
    <row r="65" spans="1:10" x14ac:dyDescent="0.35">
      <c r="A65" s="53"/>
      <c r="B65" s="139" t="s">
        <v>49</v>
      </c>
      <c r="C65" s="140"/>
      <c r="D65" s="140"/>
      <c r="E65" s="140"/>
      <c r="F65" s="140"/>
      <c r="G65" s="140"/>
      <c r="H65" s="140"/>
      <c r="I65" s="141"/>
      <c r="J65" s="54"/>
    </row>
    <row r="66" spans="1:10" x14ac:dyDescent="0.35">
      <c r="A66" s="53"/>
      <c r="B66" s="12" t="s">
        <v>50</v>
      </c>
      <c r="C66" s="13"/>
      <c r="D66" s="14"/>
      <c r="E66" s="161">
        <v>44713</v>
      </c>
      <c r="F66" s="161">
        <v>44713</v>
      </c>
      <c r="G66" s="162">
        <v>44784</v>
      </c>
      <c r="H66" s="89" t="str">
        <f>IF(SUM(E66:G66)=0, "", IF($H$57=Lists!$D$8, IFERROR(MROUND(CONVERT(F66-E66,"day","yr")*12, 0.5)&amp;" mo.", ""), IF($H$57=Lists!$D$9, IFERROR(MROUND(CONVERT(G66-E66,"day","yr")*12, 0.5)&amp;" mo.", ""), IFERROR(MROUND(CONVERT(G66-F66,"day","yr")*12, 0.5)&amp;" mo.", ""))))</f>
        <v>2.5 mo.</v>
      </c>
      <c r="I66" s="112"/>
      <c r="J66" s="54"/>
    </row>
    <row r="67" spans="1:10" x14ac:dyDescent="0.35">
      <c r="A67" s="53"/>
      <c r="B67" s="15" t="s">
        <v>51</v>
      </c>
      <c r="D67" s="16"/>
      <c r="E67" s="161">
        <v>44743</v>
      </c>
      <c r="F67" s="161">
        <v>44743</v>
      </c>
      <c r="G67" s="162">
        <v>45887</v>
      </c>
      <c r="H67" s="89" t="str">
        <f>IF(SUM(E67:G67)=0, "", IF($H$57=Lists!$D$8, IFERROR(MROUND(CONVERT(F67-E67,"day","yr")*12, 0.5)&amp;" mo.", ""), IF($H$57=Lists!$D$9, IFERROR(MROUND(CONVERT(G67-E67,"day","yr")*12, 0.5)&amp;" mo.", ""), IFERROR(MROUND(CONVERT(G67-F67,"day","yr")*12, 0.5)&amp;" mo.", ""))))</f>
        <v>37.5 mo.</v>
      </c>
      <c r="I67" s="112"/>
      <c r="J67" s="54"/>
    </row>
    <row r="68" spans="1:10" x14ac:dyDescent="0.35">
      <c r="A68" s="53"/>
      <c r="B68" s="15" t="s">
        <v>52</v>
      </c>
      <c r="D68" s="16"/>
      <c r="E68" s="161">
        <v>45412</v>
      </c>
      <c r="F68" s="161">
        <v>45412</v>
      </c>
      <c r="G68" s="162">
        <v>45594</v>
      </c>
      <c r="H68" s="89" t="str">
        <f>IF(SUM(E68:G68)=0, "", IF($H$57=Lists!$D$8, IFERROR(MROUND(CONVERT(F68-E68,"day","yr")*12, 0.5)&amp;" mo.", ""), IF($H$57=Lists!$D$9, IFERROR(MROUND(CONVERT(G68-E68,"day","yr")*12, 0.5)&amp;" mo.", ""), IFERROR(MROUND(CONVERT(G68-F68,"day","yr")*12, 0.5)&amp;" mo.", ""))))</f>
        <v>6 mo.</v>
      </c>
      <c r="I68" s="112"/>
      <c r="J68" s="54"/>
    </row>
    <row r="69" spans="1:10" x14ac:dyDescent="0.35">
      <c r="A69" s="53"/>
      <c r="B69" s="15" t="s">
        <v>53</v>
      </c>
      <c r="D69" s="16"/>
      <c r="E69" s="161"/>
      <c r="F69" s="161">
        <v>45719</v>
      </c>
      <c r="G69" s="162">
        <v>45719</v>
      </c>
      <c r="H69" s="89" t="str">
        <f>IF(SUM(E69:G69)=0, "", IF($H$57=Lists!$D$8, IFERROR(MROUND(CONVERT(F69-E69,"day","yr")*12, 0.5)&amp;" mo.", ""), IF($H$57=Lists!$D$9, IFERROR(MROUND(CONVERT(G69-E69,"day","yr")*12, 0.5)&amp;" mo.", ""), IFERROR(MROUND(CONVERT(G69-F69,"day","yr")*12, 0.5)&amp;" mo.", ""))))</f>
        <v>0 mo.</v>
      </c>
      <c r="I69" s="112"/>
      <c r="J69" s="54"/>
    </row>
    <row r="70" spans="1:10" x14ac:dyDescent="0.35">
      <c r="A70" s="53"/>
      <c r="B70" s="15" t="s">
        <v>54</v>
      </c>
      <c r="D70" s="16"/>
      <c r="E70" s="161"/>
      <c r="F70" s="161">
        <v>46562</v>
      </c>
      <c r="G70" s="162"/>
      <c r="H70" s="89" t="str">
        <f>IF(SUM(E70:G70)=0, "", IF($H$57=Lists!$D$8, IFERROR(MROUND(CONVERT(F70-E70,"day","yr")*12, 0.5)&amp;" mo.", ""), IF($H$57=Lists!$D$9, IFERROR(MROUND(CONVERT(G70-E70,"day","yr")*12, 0.5)&amp;" mo.", ""), IFERROR(MROUND(CONVERT(G70-F70,"day","yr")*12, 0.5)&amp;" mo.", ""))))</f>
        <v/>
      </c>
      <c r="I70" s="112"/>
      <c r="J70" s="54"/>
    </row>
    <row r="71" spans="1:10" x14ac:dyDescent="0.35">
      <c r="A71" s="53"/>
      <c r="B71" s="18" t="s">
        <v>55</v>
      </c>
      <c r="C71" s="19"/>
      <c r="D71" s="20"/>
      <c r="E71" s="161"/>
      <c r="F71" s="161">
        <v>46595</v>
      </c>
      <c r="G71" s="162"/>
      <c r="H71" s="89" t="str">
        <f>IF(SUM(E71:G71)=0, "", IF($H$57=Lists!$D$8, IFERROR(MROUND(CONVERT(F71-E71,"day","yr")*12, 0.5)&amp;" mo.", ""), IF($H$57=Lists!$D$9, IFERROR(MROUND(CONVERT(G71-E71,"day","yr")*12, 0.5)&amp;" mo.", ""), IFERROR(MROUND(CONVERT(G71-F71,"day","yr")*12, 0.5)&amp;" mo.", ""))))</f>
        <v/>
      </c>
      <c r="I71" s="112"/>
      <c r="J71" s="54"/>
    </row>
    <row r="72" spans="1:10" ht="10.15" customHeight="1" thickBot="1" x14ac:dyDescent="0.4">
      <c r="A72" s="75"/>
      <c r="B72" s="23"/>
      <c r="C72" s="23"/>
      <c r="D72" s="23"/>
      <c r="E72" s="24"/>
      <c r="F72" s="24"/>
      <c r="G72" s="24"/>
      <c r="H72" s="25"/>
      <c r="I72" s="76"/>
      <c r="J72" s="77"/>
    </row>
    <row r="73" spans="1:10" s="65" customFormat="1" ht="27" customHeight="1" thickTop="1" thickBot="1" x14ac:dyDescent="0.4">
      <c r="A73" s="129" t="s">
        <v>56</v>
      </c>
      <c r="B73" s="130"/>
      <c r="C73" s="130"/>
      <c r="D73" s="130"/>
      <c r="E73" s="130"/>
      <c r="F73" s="130"/>
      <c r="G73" s="130"/>
      <c r="H73" s="130"/>
      <c r="I73" s="130"/>
      <c r="J73" s="131"/>
    </row>
    <row r="74" spans="1:10" ht="10.15" customHeight="1" thickTop="1" x14ac:dyDescent="0.35">
      <c r="A74" s="53"/>
      <c r="B74" s="114"/>
      <c r="C74" s="114"/>
      <c r="D74" s="114"/>
      <c r="E74" s="26"/>
      <c r="F74" s="26"/>
      <c r="G74" s="26"/>
      <c r="H74" s="27"/>
      <c r="I74" s="78"/>
      <c r="J74" s="54"/>
    </row>
    <row r="75" spans="1:10" ht="75" customHeight="1" x14ac:dyDescent="0.35">
      <c r="A75" s="53"/>
      <c r="B75" s="144" t="s">
        <v>38</v>
      </c>
      <c r="C75" s="144"/>
      <c r="D75" s="144"/>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35">
      <c r="A76" s="53"/>
      <c r="B76" s="136" t="s">
        <v>59</v>
      </c>
      <c r="C76" s="137"/>
      <c r="D76" s="137"/>
      <c r="E76" s="137"/>
      <c r="F76" s="137"/>
      <c r="G76" s="137"/>
      <c r="H76" s="137"/>
      <c r="I76" s="138"/>
      <c r="J76" s="54"/>
    </row>
    <row r="77" spans="1:10" x14ac:dyDescent="0.35">
      <c r="A77" s="53"/>
      <c r="B77" s="153"/>
      <c r="C77" s="150"/>
      <c r="D77" s="120" t="s">
        <v>60</v>
      </c>
      <c r="E77" s="106"/>
      <c r="F77" s="106"/>
      <c r="G77" s="106"/>
      <c r="H77" s="93">
        <f>IF($H$57=Lists!$D$8, IFERROR(F77-E77, ""), IF($H$57=Lists!$D$9, IFERROR(G77-E77, ""), IFERROR(G77-F77, "")))</f>
        <v>0</v>
      </c>
      <c r="I77" s="112"/>
      <c r="J77" s="54"/>
    </row>
    <row r="78" spans="1:10" ht="10.15" customHeight="1" x14ac:dyDescent="0.35">
      <c r="A78" s="53"/>
      <c r="B78" s="110"/>
      <c r="C78" s="110"/>
      <c r="D78" s="110"/>
      <c r="E78" s="28"/>
      <c r="F78" s="28"/>
      <c r="G78" s="28"/>
      <c r="H78" s="29"/>
      <c r="I78" s="79"/>
      <c r="J78" s="54"/>
    </row>
    <row r="79" spans="1:10" x14ac:dyDescent="0.35">
      <c r="A79" s="53"/>
      <c r="B79" s="136" t="s">
        <v>61</v>
      </c>
      <c r="C79" s="137"/>
      <c r="D79" s="137"/>
      <c r="E79" s="137"/>
      <c r="F79" s="137"/>
      <c r="G79" s="137"/>
      <c r="H79" s="137"/>
      <c r="I79" s="138"/>
      <c r="J79" s="54"/>
    </row>
    <row r="80" spans="1:10" x14ac:dyDescent="0.35">
      <c r="A80" s="53"/>
      <c r="B80" s="12" t="s">
        <v>62</v>
      </c>
      <c r="C80" s="13"/>
      <c r="D80" s="14"/>
      <c r="E80" s="163">
        <v>428647</v>
      </c>
      <c r="F80" s="163">
        <v>306710</v>
      </c>
      <c r="G80" s="164">
        <v>306709.68000000005</v>
      </c>
      <c r="H80" s="30">
        <f>IF($H$57=Lists!$D$8, IFERROR(F80-E80, ""), IF($H$57=Lists!$D$9, IFERROR(G80-E80, ""), IFERROR(G80-F80, "")))</f>
        <v>-0.31999999994877726</v>
      </c>
      <c r="I80" s="158" t="s">
        <v>197</v>
      </c>
      <c r="J80" s="54"/>
    </row>
    <row r="81" spans="1:10" x14ac:dyDescent="0.35">
      <c r="A81" s="53"/>
      <c r="B81" s="15" t="s">
        <v>63</v>
      </c>
      <c r="D81" s="16"/>
      <c r="E81" s="163">
        <v>1847717</v>
      </c>
      <c r="F81" s="163">
        <v>2126551</v>
      </c>
      <c r="G81" s="164">
        <v>1742933.42</v>
      </c>
      <c r="H81" s="30">
        <f>IF($H$57=Lists!$D$8, IFERROR(F81-E81, ""), IF($H$57=Lists!$D$9, IFERROR(G81-E81, ""), IFERROR(G81-F81, "")))</f>
        <v>-383617.58000000007</v>
      </c>
      <c r="I81" s="158" t="s">
        <v>197</v>
      </c>
      <c r="J81" s="54"/>
    </row>
    <row r="82" spans="1:10" x14ac:dyDescent="0.35">
      <c r="A82" s="53"/>
      <c r="B82" s="15" t="s">
        <v>64</v>
      </c>
      <c r="D82" s="16"/>
      <c r="E82" s="163">
        <v>1160115</v>
      </c>
      <c r="F82" s="163">
        <v>1416470</v>
      </c>
      <c r="G82" s="164">
        <v>1498166.06</v>
      </c>
      <c r="H82" s="30">
        <f>IF($H$57=Lists!$D$8, IFERROR(F82-E82, ""), IF($H$57=Lists!$D$9, IFERROR(G82-E82, ""), IFERROR(G82-F82, "")))</f>
        <v>81696.060000000056</v>
      </c>
      <c r="I82" s="158" t="s">
        <v>198</v>
      </c>
      <c r="J82" s="54"/>
    </row>
    <row r="83" spans="1:10" x14ac:dyDescent="0.35">
      <c r="A83" s="53"/>
      <c r="B83" s="15" t="s">
        <v>65</v>
      </c>
      <c r="D83" s="16"/>
      <c r="E83" s="163">
        <f>689414*1.1008</f>
        <v>758906.93119999999</v>
      </c>
      <c r="F83" s="163">
        <v>912450</v>
      </c>
      <c r="G83" s="163">
        <v>316376.31</v>
      </c>
      <c r="H83" s="30">
        <f>IF($H$57=Lists!$D$8, IFERROR(F83-E83, ""), IF($H$57=Lists!$D$9, IFERROR(G83-E83, ""), IFERROR(G83-F83, "")))</f>
        <v>-596073.68999999994</v>
      </c>
      <c r="I83" s="112"/>
      <c r="J83" s="54"/>
    </row>
    <row r="84" spans="1:10" x14ac:dyDescent="0.35">
      <c r="A84" s="53"/>
      <c r="B84" s="15" t="s">
        <v>66</v>
      </c>
      <c r="D84" s="16"/>
      <c r="E84" s="163">
        <f>1090138-758907</f>
        <v>331231</v>
      </c>
      <c r="F84" s="163"/>
      <c r="G84" s="163">
        <v>92581.3</v>
      </c>
      <c r="H84" s="31">
        <f>IF($H$57=Lists!$D$8, IFERROR(F84-E84, ""), IF($H$57=Lists!$D$9, IFERROR(G84-E84, ""), IFERROR(G84-F84, "")))</f>
        <v>92581.3</v>
      </c>
      <c r="I84" s="112"/>
      <c r="J84" s="54"/>
    </row>
    <row r="85" spans="1:10" x14ac:dyDescent="0.35">
      <c r="A85" s="53"/>
      <c r="B85" s="15" t="s">
        <v>67</v>
      </c>
      <c r="D85" s="16"/>
      <c r="E85" s="163">
        <v>232917</v>
      </c>
      <c r="F85" s="163"/>
      <c r="G85" s="164"/>
      <c r="H85" s="30">
        <f>IF($H$57=Lists!$D$8, IFERROR(F85-E85, ""), IF($H$57=Lists!$D$9, IFERROR(G85-E85, ""), IFERROR(G85-F85, "")))</f>
        <v>0</v>
      </c>
      <c r="I85" s="108"/>
      <c r="J85" s="54"/>
    </row>
    <row r="86" spans="1:10" x14ac:dyDescent="0.35">
      <c r="A86" s="53"/>
      <c r="B86" s="18"/>
      <c r="C86" s="152"/>
      <c r="D86" s="121" t="s">
        <v>68</v>
      </c>
      <c r="E86" s="32">
        <f>SUM(E80:E85)</f>
        <v>4759533.9311999995</v>
      </c>
      <c r="F86" s="32">
        <f>SUM(F80:F85)</f>
        <v>4762181</v>
      </c>
      <c r="G86" s="32">
        <f>SUM(G80:G85)</f>
        <v>3956766.77</v>
      </c>
      <c r="H86" s="33">
        <f>IF($H$57=Lists!$D$8, IFERROR(F86-E86, ""), IF($H$57=Lists!$D$9, IFERROR(G86-E86, ""), IFERROR(G86-F86, "")))</f>
        <v>-805414.23</v>
      </c>
      <c r="I86" s="80"/>
      <c r="J86" s="54"/>
    </row>
    <row r="87" spans="1:10" ht="10.15" customHeight="1" x14ac:dyDescent="0.35">
      <c r="A87" s="53"/>
      <c r="J87" s="54"/>
    </row>
    <row r="88" spans="1:10" x14ac:dyDescent="0.35">
      <c r="A88" s="53"/>
      <c r="B88" s="136" t="s">
        <v>69</v>
      </c>
      <c r="C88" s="137"/>
      <c r="D88" s="137"/>
      <c r="E88" s="137"/>
      <c r="F88" s="137"/>
      <c r="G88" s="137"/>
      <c r="H88" s="137"/>
      <c r="I88" s="138"/>
      <c r="J88" s="54"/>
    </row>
    <row r="89" spans="1:10" ht="14.65" customHeight="1" x14ac:dyDescent="0.35">
      <c r="A89" s="53"/>
      <c r="B89" s="12" t="s">
        <v>70</v>
      </c>
      <c r="C89" s="13"/>
      <c r="D89" s="14"/>
      <c r="E89" s="163">
        <v>3234398</v>
      </c>
      <c r="F89" s="163"/>
      <c r="G89" s="164">
        <v>1281170.28</v>
      </c>
      <c r="H89" s="34">
        <f>IF($H$57=Lists!$D$8, IFERROR(F89-E89, ""), IF($H$57=Lists!$D$9, IFERROR(G89-E89, ""), IFERROR(G89-F89, "")))</f>
        <v>1281170.28</v>
      </c>
      <c r="I89" s="112"/>
      <c r="J89" s="54"/>
    </row>
    <row r="90" spans="1:10" x14ac:dyDescent="0.35">
      <c r="A90" s="53"/>
      <c r="B90" s="15" t="s">
        <v>71</v>
      </c>
      <c r="D90" s="16"/>
      <c r="E90" s="163">
        <v>436874</v>
      </c>
      <c r="F90" s="163"/>
      <c r="G90" s="164"/>
      <c r="H90" s="34">
        <f>IF($H$57=Lists!$D$8, IFERROR(F90-E90, ""), IF($H$57=Lists!$D$9, IFERROR(G90-E90, ""), IFERROR(G90-F90, "")))</f>
        <v>0</v>
      </c>
      <c r="I90" s="108"/>
      <c r="J90" s="54"/>
    </row>
    <row r="91" spans="1:10" x14ac:dyDescent="0.35">
      <c r="A91" s="53"/>
      <c r="B91" s="15" t="s">
        <v>72</v>
      </c>
      <c r="D91" s="16"/>
      <c r="E91" s="163">
        <v>31263951</v>
      </c>
      <c r="F91" s="163">
        <v>44646135</v>
      </c>
      <c r="G91" s="163">
        <v>13892969.85</v>
      </c>
      <c r="H91" s="35">
        <f>IF($H$57=Lists!$D$8, IFERROR(F91-E91, ""), IF($H$57=Lists!$D$9, IFERROR(G91-E91, ""), IFERROR(G91-F91, "")))</f>
        <v>-30753165.149999999</v>
      </c>
      <c r="I91" s="108"/>
      <c r="J91" s="54"/>
    </row>
    <row r="92" spans="1:10" x14ac:dyDescent="0.35">
      <c r="A92" s="53"/>
      <c r="B92" s="38"/>
      <c r="C92" s="1"/>
      <c r="D92" s="154" t="s">
        <v>73</v>
      </c>
      <c r="E92" s="155">
        <f>SUM(E89:E91)</f>
        <v>34935223</v>
      </c>
      <c r="F92" s="36">
        <f t="shared" ref="F92:G92" si="6">SUM(F89:F91)</f>
        <v>44646135</v>
      </c>
      <c r="G92" s="36">
        <f t="shared" si="6"/>
        <v>15174140.129999999</v>
      </c>
      <c r="H92" s="34">
        <f>IF($H$57=Lists!$D$8, IFERROR(F92-E92, ""), IF($H$57=Lists!$D$9, IFERROR(G92-E92, ""), IFERROR(G92-F92, "")))</f>
        <v>-29471994.870000001</v>
      </c>
      <c r="I92" s="80"/>
      <c r="J92" s="54"/>
    </row>
    <row r="93" spans="1:10" x14ac:dyDescent="0.35">
      <c r="A93" s="53"/>
      <c r="B93" s="15" t="s">
        <v>74</v>
      </c>
      <c r="D93" s="16"/>
      <c r="E93" s="163">
        <v>1750384</v>
      </c>
      <c r="F93" s="163">
        <v>1706376</v>
      </c>
      <c r="G93" s="164"/>
      <c r="H93" s="34">
        <f>IF($H$57=Lists!$D$8, IFERROR(F93-E93, ""), IF($H$57=Lists!$D$9, IFERROR(G93-E93, ""), IFERROR(G93-F93, "")))</f>
        <v>-1706376</v>
      </c>
      <c r="I93" s="108"/>
      <c r="J93" s="54"/>
    </row>
    <row r="94" spans="1:10" x14ac:dyDescent="0.35">
      <c r="A94" s="53"/>
      <c r="B94" s="15" t="s">
        <v>75</v>
      </c>
      <c r="D94" s="16"/>
      <c r="E94" s="163"/>
      <c r="F94" s="163"/>
      <c r="G94" s="163"/>
      <c r="H94" s="34">
        <f>IF($H$57=Lists!$D$8, IFERROR(F94-E94, ""), IF($H$57=Lists!$D$9, IFERROR(G94-E94, ""), IFERROR(G94-F94, "")))</f>
        <v>0</v>
      </c>
      <c r="I94" s="108"/>
      <c r="J94" s="54"/>
    </row>
    <row r="95" spans="1:10" x14ac:dyDescent="0.35">
      <c r="A95" s="53"/>
      <c r="B95" s="15" t="s">
        <v>76</v>
      </c>
      <c r="D95" s="16"/>
      <c r="E95" s="163">
        <v>3154963</v>
      </c>
      <c r="F95" s="163">
        <v>4079021</v>
      </c>
      <c r="G95" s="163">
        <v>1318998.76</v>
      </c>
      <c r="H95" s="34">
        <f>IF($H$57=Lists!$D$8, IFERROR(F95-E95, ""), IF($H$57=Lists!$D$9, IFERROR(G95-E95, ""), IFERROR(G95-F95, "")))</f>
        <v>-2760022.24</v>
      </c>
      <c r="I95" s="108"/>
      <c r="J95" s="54"/>
    </row>
    <row r="96" spans="1:10" x14ac:dyDescent="0.35">
      <c r="A96" s="53"/>
      <c r="B96" s="15" t="str">
        <f>IF(C54=Lists!J3, "GCCM Costs", IF(C54=Lists!J4, "Design-Build Costs", ""))</f>
        <v/>
      </c>
      <c r="D96" s="16"/>
      <c r="E96" s="107"/>
      <c r="F96" s="107"/>
      <c r="G96" s="107"/>
      <c r="H96" s="34">
        <f>IF($H$57=Lists!$D$8, IFERROR(F96-E96, ""), IF($H$57=Lists!$D$9, IFERROR(G96-E96, ""), IFERROR(G96-F96, "")))</f>
        <v>0</v>
      </c>
      <c r="I96" s="108"/>
      <c r="J96" s="54"/>
    </row>
    <row r="97" spans="1:10" x14ac:dyDescent="0.35">
      <c r="A97" s="53"/>
      <c r="B97" s="15" t="str">
        <f>IF(C54=Lists!J3, "GCCM Risk Contingency", "")</f>
        <v/>
      </c>
      <c r="D97" s="16"/>
      <c r="E97" s="107"/>
      <c r="F97" s="107"/>
      <c r="G97" s="107"/>
      <c r="H97" s="34">
        <f>IF($H$57=Lists!$D$8, IFERROR(F97-E97, ""), IF($H$57=Lists!$D$9, IFERROR(G97-E97, ""), IFERROR(G97-F97, "")))</f>
        <v>0</v>
      </c>
      <c r="I97" s="108"/>
      <c r="J97" s="54"/>
    </row>
    <row r="98" spans="1:10" x14ac:dyDescent="0.35">
      <c r="A98" s="53"/>
      <c r="B98" s="151"/>
      <c r="C98" s="152"/>
      <c r="D98" s="121" t="s">
        <v>77</v>
      </c>
      <c r="E98" s="155">
        <f>SUM(E92:E97)</f>
        <v>39840570</v>
      </c>
      <c r="F98" s="36">
        <f t="shared" ref="F98:G98" si="7">SUM(F92:F97)</f>
        <v>50431532</v>
      </c>
      <c r="G98" s="36">
        <f t="shared" si="7"/>
        <v>16493138.889999999</v>
      </c>
      <c r="H98" s="37">
        <f>IF($H$57=Lists!$D$8, IFERROR(F98-E98, ""), IF($H$57=Lists!$D$9, IFERROR(G98-E98, ""), IFERROR(G98-F98, "")))</f>
        <v>-33938393.109999999</v>
      </c>
      <c r="I98" s="72"/>
      <c r="J98" s="54"/>
    </row>
    <row r="99" spans="1:10" ht="10.15" customHeight="1" x14ac:dyDescent="0.35">
      <c r="A99" s="53"/>
      <c r="J99" s="54"/>
    </row>
    <row r="100" spans="1:10" x14ac:dyDescent="0.35">
      <c r="A100" s="53"/>
      <c r="B100" s="136" t="s">
        <v>78</v>
      </c>
      <c r="C100" s="137"/>
      <c r="D100" s="137"/>
      <c r="E100" s="137"/>
      <c r="F100" s="137"/>
      <c r="G100" s="137"/>
      <c r="H100" s="137"/>
      <c r="I100" s="138"/>
      <c r="J100" s="54"/>
    </row>
    <row r="101" spans="1:10" x14ac:dyDescent="0.35">
      <c r="A101" s="53"/>
      <c r="B101" s="38" t="s">
        <v>79</v>
      </c>
      <c r="D101" s="16"/>
      <c r="E101" s="165">
        <v>0</v>
      </c>
      <c r="F101" s="165">
        <v>0</v>
      </c>
      <c r="G101" s="166"/>
      <c r="H101" s="39">
        <f>IF($H$57=Lists!$D$8, IFERROR(F101-E101, ""), IF($H$57=Lists!$D$9, IFERROR(G101-E101, ""), IFERROR(G101-F101, "")))</f>
        <v>0</v>
      </c>
      <c r="I101" s="109"/>
      <c r="J101" s="81"/>
    </row>
    <row r="102" spans="1:10" x14ac:dyDescent="0.35">
      <c r="A102" s="53"/>
      <c r="B102" s="38" t="s">
        <v>80</v>
      </c>
      <c r="D102" s="16"/>
      <c r="E102" s="165">
        <v>223001</v>
      </c>
      <c r="F102" s="165">
        <v>247446</v>
      </c>
      <c r="G102" s="166">
        <v>0</v>
      </c>
      <c r="H102" s="39">
        <f>IF($H$57=Lists!$D$8, IFERROR(F102-E102, ""), IF($H$57=Lists!$D$9, IFERROR(G102-E102, ""), IFERROR(G102-F102, "")))</f>
        <v>-247446</v>
      </c>
      <c r="I102" s="109"/>
      <c r="J102" s="81"/>
    </row>
    <row r="103" spans="1:10" x14ac:dyDescent="0.35">
      <c r="A103" s="53"/>
      <c r="B103" s="38" t="s">
        <v>81</v>
      </c>
      <c r="D103" s="16"/>
      <c r="E103" s="163"/>
      <c r="F103" s="163">
        <v>0</v>
      </c>
      <c r="G103" s="164"/>
      <c r="H103" s="40">
        <f>IF($H$57=Lists!$D$8, IFERROR(F103-E103, ""), IF($H$57=Lists!$D$9, IFERROR(G103-E103, ""), IFERROR(G103-F103, "")))</f>
        <v>0</v>
      </c>
      <c r="I103" s="112"/>
      <c r="J103" s="54"/>
    </row>
    <row r="104" spans="1:10" x14ac:dyDescent="0.35">
      <c r="A104" s="53"/>
      <c r="B104" s="38" t="s">
        <v>82</v>
      </c>
      <c r="D104" s="16"/>
      <c r="E104" s="163"/>
      <c r="F104" s="163">
        <v>11800</v>
      </c>
      <c r="G104" s="167">
        <f>112.75+149.45+3108.9+138338.81</f>
        <v>141709.91</v>
      </c>
      <c r="H104" s="41">
        <f>IF($H$57=Lists!$D$8, IFERROR(F104-E104, ""), IF($H$57=Lists!$D$9, IFERROR(G104-E104, ""), IFERROR(G104-F104, "")))</f>
        <v>129909.91</v>
      </c>
      <c r="I104" s="168" t="s">
        <v>199</v>
      </c>
      <c r="J104" s="81"/>
    </row>
    <row r="105" spans="1:10" ht="15" thickBot="1" x14ac:dyDescent="0.4">
      <c r="A105" s="53"/>
      <c r="B105" s="156"/>
      <c r="C105" s="60"/>
      <c r="D105" s="122" t="s">
        <v>83</v>
      </c>
      <c r="E105" s="42">
        <f>SUM(E101:E104)</f>
        <v>223001</v>
      </c>
      <c r="F105" s="42">
        <f>SUM(F101:F104)</f>
        <v>259246</v>
      </c>
      <c r="G105" s="42">
        <f>SUM(G101:G104)</f>
        <v>141709.91</v>
      </c>
      <c r="H105" s="37">
        <f>IF($H$57=Lists!$D$8, IFERROR(F105-E105, ""), IF($H$57=Lists!$D$9, IFERROR(G105-E105, ""), IFERROR(G105-F105, "")))</f>
        <v>-117536.09</v>
      </c>
      <c r="I105" s="82"/>
      <c r="J105" s="81"/>
    </row>
    <row r="106" spans="1:10" ht="19.5" thickTop="1" thickBot="1" x14ac:dyDescent="0.5">
      <c r="A106" s="53"/>
      <c r="B106" s="83" t="s">
        <v>84</v>
      </c>
      <c r="C106" s="84"/>
      <c r="D106" s="84"/>
      <c r="E106" s="85">
        <f>SUM(E77,E86,E98,E105)</f>
        <v>44823104.931199998</v>
      </c>
      <c r="F106" s="85">
        <f>SUM(F77,F86,F98,F105)</f>
        <v>55452959</v>
      </c>
      <c r="G106" s="85">
        <f>SUM(G77,G86,G98,G105)</f>
        <v>20591615.57</v>
      </c>
      <c r="H106" s="85">
        <f>SUM(H77,H86,H98,H105)</f>
        <v>-34861343.43</v>
      </c>
      <c r="I106" s="86"/>
      <c r="J106" s="81"/>
    </row>
    <row r="107" spans="1:10" ht="10.15" customHeight="1" thickTop="1" x14ac:dyDescent="0.35">
      <c r="A107" s="53"/>
      <c r="B107" s="113"/>
      <c r="C107" s="113"/>
      <c r="D107" s="113"/>
      <c r="E107" s="43"/>
      <c r="F107" s="43"/>
      <c r="G107" s="43"/>
      <c r="H107" s="43"/>
      <c r="I107" s="111"/>
      <c r="J107" s="81"/>
    </row>
    <row r="108" spans="1:10" s="1" customFormat="1" x14ac:dyDescent="0.35">
      <c r="A108" s="56"/>
      <c r="B108" s="194" t="str">
        <f>IF(ReportType=Lists!$O$2, "", "Close-Out Information")</f>
        <v/>
      </c>
      <c r="C108" s="195"/>
      <c r="D108" s="195"/>
      <c r="E108" s="195"/>
      <c r="F108" s="195"/>
      <c r="G108" s="195"/>
      <c r="H108" s="195"/>
      <c r="I108" s="196"/>
      <c r="J108" s="57"/>
    </row>
    <row r="109" spans="1:10" s="1" customFormat="1" x14ac:dyDescent="0.35">
      <c r="A109" s="56"/>
      <c r="B109" s="44"/>
      <c r="C109" s="204"/>
      <c r="D109" s="204"/>
      <c r="E109" s="204" t="str">
        <f>IF(ReportType=Lists!$O$2, "", "NOTES")</f>
        <v/>
      </c>
      <c r="F109" s="204"/>
      <c r="G109" s="204"/>
      <c r="H109" s="204"/>
      <c r="I109" s="205"/>
      <c r="J109" s="57"/>
    </row>
    <row r="110" spans="1:10" ht="15" customHeight="1" x14ac:dyDescent="0.35">
      <c r="A110" s="53"/>
      <c r="B110" s="71" t="str">
        <f>IF(ReportType=Lists!$O$2, "", "Number of Change Orders")</f>
        <v/>
      </c>
      <c r="C110" s="197"/>
      <c r="D110" s="198"/>
      <c r="E110" s="201"/>
      <c r="F110" s="202"/>
      <c r="G110" s="202"/>
      <c r="H110" s="202"/>
      <c r="I110" s="203"/>
      <c r="J110" s="54"/>
    </row>
    <row r="111" spans="1:10" ht="15" customHeight="1" x14ac:dyDescent="0.35">
      <c r="A111" s="53"/>
      <c r="B111" s="71" t="str">
        <f>IF(ReportType=Lists!$O$2, "", "Total Value of Change Orders")</f>
        <v/>
      </c>
      <c r="C111" s="206"/>
      <c r="D111" s="207"/>
      <c r="E111" s="115"/>
      <c r="F111" s="116"/>
      <c r="G111" s="116"/>
      <c r="H111" s="116"/>
      <c r="I111" s="117"/>
      <c r="J111" s="54"/>
    </row>
    <row r="112" spans="1:10" ht="15" customHeight="1" x14ac:dyDescent="0.35">
      <c r="A112" s="53"/>
      <c r="B112" s="71" t="str">
        <f>IF(ReportType=Lists!$O$2, "", "Outstanding Liabilities")</f>
        <v/>
      </c>
      <c r="C112" s="206"/>
      <c r="D112" s="207"/>
      <c r="E112" s="115"/>
      <c r="F112" s="116"/>
      <c r="G112" s="116"/>
      <c r="H112" s="116"/>
      <c r="I112" s="117"/>
      <c r="J112" s="54"/>
    </row>
    <row r="113" spans="1:10" x14ac:dyDescent="0.35">
      <c r="A113" s="53"/>
      <c r="B113" s="18" t="str">
        <f>IF(ReportType=Lists!$O$2, "", "Unsettled Claims")</f>
        <v/>
      </c>
      <c r="C113" s="199"/>
      <c r="D113" s="200"/>
      <c r="E113" s="201"/>
      <c r="F113" s="202"/>
      <c r="G113" s="202"/>
      <c r="H113" s="202"/>
      <c r="I113" s="203"/>
      <c r="J113" s="54"/>
    </row>
    <row r="114" spans="1:10" ht="10.15" customHeight="1" x14ac:dyDescent="0.35">
      <c r="A114" s="53"/>
      <c r="J114" s="54"/>
    </row>
    <row r="115" spans="1:10" ht="15" thickBot="1" x14ac:dyDescent="0.4">
      <c r="A115" s="53"/>
      <c r="B115" s="1" t="s">
        <v>85</v>
      </c>
      <c r="J115" s="54"/>
    </row>
    <row r="116" spans="1:10" x14ac:dyDescent="0.35">
      <c r="A116" s="53"/>
      <c r="B116" s="216" t="s">
        <v>205</v>
      </c>
      <c r="C116" s="181"/>
      <c r="D116" s="181"/>
      <c r="E116" s="181"/>
      <c r="F116" s="181"/>
      <c r="G116" s="181"/>
      <c r="H116" s="181"/>
      <c r="I116" s="182"/>
      <c r="J116" s="54"/>
    </row>
    <row r="117" spans="1:10" x14ac:dyDescent="0.35">
      <c r="A117" s="53"/>
      <c r="B117" s="183"/>
      <c r="C117" s="184"/>
      <c r="D117" s="184"/>
      <c r="E117" s="184"/>
      <c r="F117" s="184"/>
      <c r="G117" s="184"/>
      <c r="H117" s="184"/>
      <c r="I117" s="185"/>
      <c r="J117" s="54"/>
    </row>
    <row r="118" spans="1:10" x14ac:dyDescent="0.35">
      <c r="A118" s="53"/>
      <c r="B118" s="183"/>
      <c r="C118" s="184"/>
      <c r="D118" s="184"/>
      <c r="E118" s="184"/>
      <c r="F118" s="184"/>
      <c r="G118" s="184"/>
      <c r="H118" s="184"/>
      <c r="I118" s="185"/>
      <c r="J118" s="54"/>
    </row>
    <row r="119" spans="1:10" x14ac:dyDescent="0.35">
      <c r="A119" s="53"/>
      <c r="B119" s="183"/>
      <c r="C119" s="184"/>
      <c r="D119" s="184"/>
      <c r="E119" s="184"/>
      <c r="F119" s="184"/>
      <c r="G119" s="184"/>
      <c r="H119" s="184"/>
      <c r="I119" s="185"/>
      <c r="J119" s="54"/>
    </row>
    <row r="120" spans="1:10" x14ac:dyDescent="0.35">
      <c r="A120" s="53"/>
      <c r="B120" s="183"/>
      <c r="C120" s="184"/>
      <c r="D120" s="184"/>
      <c r="E120" s="184"/>
      <c r="F120" s="184"/>
      <c r="G120" s="184"/>
      <c r="H120" s="184"/>
      <c r="I120" s="185"/>
      <c r="J120" s="54"/>
    </row>
    <row r="121" spans="1:10" x14ac:dyDescent="0.35">
      <c r="A121" s="53"/>
      <c r="B121" s="183"/>
      <c r="C121" s="184"/>
      <c r="D121" s="184"/>
      <c r="E121" s="184"/>
      <c r="F121" s="184"/>
      <c r="G121" s="184"/>
      <c r="H121" s="184"/>
      <c r="I121" s="185"/>
      <c r="J121" s="54"/>
    </row>
    <row r="122" spans="1:10" x14ac:dyDescent="0.35">
      <c r="A122" s="53"/>
      <c r="B122" s="183"/>
      <c r="C122" s="184"/>
      <c r="D122" s="184"/>
      <c r="E122" s="184"/>
      <c r="F122" s="184"/>
      <c r="G122" s="184"/>
      <c r="H122" s="184"/>
      <c r="I122" s="185"/>
      <c r="J122" s="54"/>
    </row>
    <row r="123" spans="1:10" x14ac:dyDescent="0.35">
      <c r="A123" s="53"/>
      <c r="B123" s="183"/>
      <c r="C123" s="184"/>
      <c r="D123" s="184"/>
      <c r="E123" s="184"/>
      <c r="F123" s="184"/>
      <c r="G123" s="184"/>
      <c r="H123" s="184"/>
      <c r="I123" s="185"/>
      <c r="J123" s="54"/>
    </row>
    <row r="124" spans="1:10" x14ac:dyDescent="0.35">
      <c r="A124" s="53"/>
      <c r="B124" s="183"/>
      <c r="C124" s="184"/>
      <c r="D124" s="184"/>
      <c r="E124" s="184"/>
      <c r="F124" s="184"/>
      <c r="G124" s="184"/>
      <c r="H124" s="184"/>
      <c r="I124" s="185"/>
      <c r="J124" s="54"/>
    </row>
    <row r="125" spans="1:10" x14ac:dyDescent="0.35">
      <c r="A125" s="53"/>
      <c r="B125" s="183"/>
      <c r="C125" s="184"/>
      <c r="D125" s="184"/>
      <c r="E125" s="184"/>
      <c r="F125" s="184"/>
      <c r="G125" s="184"/>
      <c r="H125" s="184"/>
      <c r="I125" s="185"/>
      <c r="J125" s="54"/>
    </row>
    <row r="126" spans="1:10" x14ac:dyDescent="0.35">
      <c r="A126" s="53"/>
      <c r="B126" s="183"/>
      <c r="C126" s="184"/>
      <c r="D126" s="184"/>
      <c r="E126" s="184"/>
      <c r="F126" s="184"/>
      <c r="G126" s="184"/>
      <c r="H126" s="184"/>
      <c r="I126" s="185"/>
      <c r="J126" s="54"/>
    </row>
    <row r="127" spans="1:10" x14ac:dyDescent="0.35">
      <c r="A127" s="53"/>
      <c r="B127" s="183"/>
      <c r="C127" s="184"/>
      <c r="D127" s="184"/>
      <c r="E127" s="184"/>
      <c r="F127" s="184"/>
      <c r="G127" s="184"/>
      <c r="H127" s="184"/>
      <c r="I127" s="185"/>
      <c r="J127" s="54"/>
    </row>
    <row r="128" spans="1:10" x14ac:dyDescent="0.35">
      <c r="A128" s="53"/>
      <c r="B128" s="183"/>
      <c r="C128" s="184"/>
      <c r="D128" s="184"/>
      <c r="E128" s="184"/>
      <c r="F128" s="184"/>
      <c r="G128" s="184"/>
      <c r="H128" s="184"/>
      <c r="I128" s="185"/>
      <c r="J128" s="54"/>
    </row>
    <row r="129" spans="1:10" x14ac:dyDescent="0.35">
      <c r="A129" s="53"/>
      <c r="B129" s="183"/>
      <c r="C129" s="184"/>
      <c r="D129" s="184"/>
      <c r="E129" s="184"/>
      <c r="F129" s="184"/>
      <c r="G129" s="184"/>
      <c r="H129" s="184"/>
      <c r="I129" s="185"/>
      <c r="J129" s="54"/>
    </row>
    <row r="130" spans="1:10" x14ac:dyDescent="0.35">
      <c r="A130" s="53"/>
      <c r="B130" s="183"/>
      <c r="C130" s="184"/>
      <c r="D130" s="184"/>
      <c r="E130" s="184"/>
      <c r="F130" s="184"/>
      <c r="G130" s="184"/>
      <c r="H130" s="184"/>
      <c r="I130" s="185"/>
      <c r="J130" s="54"/>
    </row>
    <row r="131" spans="1:10" x14ac:dyDescent="0.35">
      <c r="A131" s="53"/>
      <c r="B131" s="183"/>
      <c r="C131" s="184"/>
      <c r="D131" s="184"/>
      <c r="E131" s="184"/>
      <c r="F131" s="184"/>
      <c r="G131" s="184"/>
      <c r="H131" s="184"/>
      <c r="I131" s="185"/>
      <c r="J131" s="54"/>
    </row>
    <row r="132" spans="1:10" x14ac:dyDescent="0.35">
      <c r="A132" s="53"/>
      <c r="B132" s="183"/>
      <c r="C132" s="184"/>
      <c r="D132" s="184"/>
      <c r="E132" s="184"/>
      <c r="F132" s="184"/>
      <c r="G132" s="184"/>
      <c r="H132" s="184"/>
      <c r="I132" s="185"/>
      <c r="J132" s="54"/>
    </row>
    <row r="133" spans="1:10" x14ac:dyDescent="0.35">
      <c r="A133" s="53"/>
      <c r="B133" s="183"/>
      <c r="C133" s="184"/>
      <c r="D133" s="184"/>
      <c r="E133" s="184"/>
      <c r="F133" s="184"/>
      <c r="G133" s="184"/>
      <c r="H133" s="184"/>
      <c r="I133" s="185"/>
      <c r="J133" s="54"/>
    </row>
    <row r="134" spans="1:10" x14ac:dyDescent="0.35">
      <c r="A134" s="53"/>
      <c r="B134" s="183"/>
      <c r="C134" s="184"/>
      <c r="D134" s="184"/>
      <c r="E134" s="184"/>
      <c r="F134" s="184"/>
      <c r="G134" s="184"/>
      <c r="H134" s="184"/>
      <c r="I134" s="185"/>
      <c r="J134" s="54"/>
    </row>
    <row r="135" spans="1:10" ht="15" thickBot="1" x14ac:dyDescent="0.4">
      <c r="A135" s="53"/>
      <c r="B135" s="186"/>
      <c r="C135" s="187"/>
      <c r="D135" s="187"/>
      <c r="E135" s="187"/>
      <c r="F135" s="187"/>
      <c r="G135" s="187"/>
      <c r="H135" s="187"/>
      <c r="I135" s="188"/>
      <c r="J135" s="54"/>
    </row>
    <row r="136" spans="1:10" ht="10.15" customHeight="1" thickBot="1" x14ac:dyDescent="0.4">
      <c r="A136" s="75"/>
      <c r="B136" s="59"/>
      <c r="C136" s="59"/>
      <c r="D136" s="59"/>
      <c r="E136" s="59"/>
      <c r="F136" s="59"/>
      <c r="G136" s="59"/>
      <c r="H136" s="59"/>
      <c r="I136" s="59"/>
      <c r="J136" s="77"/>
    </row>
  </sheetData>
  <sheetProtection formatCells="0" formatColumns="0" formatRows="0" insertRows="0" insertHyperlinks="0"/>
  <mergeCells count="22">
    <mergeCell ref="C113:D113"/>
    <mergeCell ref="E110:I110"/>
    <mergeCell ref="E113:I113"/>
    <mergeCell ref="C109:D109"/>
    <mergeCell ref="E109:I109"/>
    <mergeCell ref="C111:D111"/>
    <mergeCell ref="C112:D112"/>
    <mergeCell ref="C5:H5"/>
    <mergeCell ref="C7:H7"/>
    <mergeCell ref="C6:H6"/>
    <mergeCell ref="B108:I108"/>
    <mergeCell ref="C110:D110"/>
    <mergeCell ref="C10:H10"/>
    <mergeCell ref="C11:H11"/>
    <mergeCell ref="C12:H12"/>
    <mergeCell ref="G52:H52"/>
    <mergeCell ref="G53:H53"/>
    <mergeCell ref="G54:H54"/>
    <mergeCell ref="E52:F52"/>
    <mergeCell ref="C52:D52"/>
    <mergeCell ref="C53:D53"/>
    <mergeCell ref="C54:D54"/>
  </mergeCells>
  <conditionalFormatting sqref="A1:J30">
    <cfRule type="expression" dxfId="7" priority="13">
      <formula>CELL("PROTECT", A1)=0</formula>
    </cfRule>
  </conditionalFormatting>
  <conditionalFormatting sqref="A32:J76">
    <cfRule type="expression" dxfId="6" priority="7">
      <formula>CELL("PROTECT", A32)=0</formula>
    </cfRule>
  </conditionalFormatting>
  <conditionalFormatting sqref="A78:J85">
    <cfRule type="expression" dxfId="5" priority="5">
      <formula>CELL("PROTECT", A78)=0</formula>
    </cfRule>
  </conditionalFormatting>
  <conditionalFormatting sqref="A87:J95">
    <cfRule type="expression" dxfId="4" priority="3">
      <formula>CELL("PROTECT", A87)=0</formula>
    </cfRule>
  </conditionalFormatting>
  <conditionalFormatting sqref="A96:J100 A105:J110 A111:C112 E111:J112 A113:J136 A31:G31 J31 A77 C77:J77 A86 C86:J86">
    <cfRule type="expression" dxfId="3" priority="19">
      <formula>CELL("PROTECT", A31)=0</formula>
    </cfRule>
  </conditionalFormatting>
  <conditionalFormatting sqref="A101:J104">
    <cfRule type="expression" dxfId="2" priority="1">
      <formula>CELL("PROTECT", A101)=0</formula>
    </cfRule>
  </conditionalFormatting>
  <conditionalFormatting sqref="E96:I97">
    <cfRule type="expression" dxfId="0" priority="18">
      <formula>$B96=""</formula>
    </cfRule>
  </conditionalFormatting>
  <dataValidations disablePrompts="1" count="1">
    <dataValidation type="list" allowBlank="1" showInputMessage="1" showErrorMessage="1" sqref="K64" xr:uid="{00000000-0002-0000-0100-000000000000}">
      <formula1>"PMoptions"</formula1>
    </dataValidation>
  </dataValidations>
  <hyperlinks>
    <hyperlink ref="C12" r:id="rId1" xr:uid="{3CF48CF8-B707-4406-85D7-21511C550C20}"/>
  </hyperlinks>
  <pageMargins left="0.45" right="0.45" top="0.5" bottom="0.5" header="0.3" footer="0.3"/>
  <pageSetup scale="66" fitToHeight="2" orientation="portrait" r:id="rId2"/>
  <headerFooter>
    <oddFooter>&amp;C&amp;P</oddFooter>
  </headerFooter>
  <rowBreaks count="1" manualBreakCount="1">
    <brk id="72"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B3127-0058-400B-8948-F840DD9C96D4}">
  <dimension ref="A1:R264"/>
  <sheetViews>
    <sheetView showGridLines="0" topLeftCell="E225" workbookViewId="0">
      <selection activeCell="R268" sqref="R268"/>
    </sheetView>
  </sheetViews>
  <sheetFormatPr defaultRowHeight="14.5" x14ac:dyDescent="0.35"/>
  <sheetData>
    <row r="1" spans="1:18" ht="21" x14ac:dyDescent="0.5">
      <c r="A1" s="142" t="s">
        <v>86</v>
      </c>
      <c r="B1" s="143"/>
      <c r="C1" s="143"/>
      <c r="D1" s="143"/>
      <c r="E1" s="143"/>
      <c r="F1" s="143"/>
      <c r="G1" s="143"/>
      <c r="H1" s="143"/>
      <c r="I1" s="143"/>
      <c r="J1" s="143"/>
      <c r="K1" s="143"/>
      <c r="L1" s="143"/>
      <c r="M1" s="143"/>
      <c r="N1" s="143"/>
      <c r="O1" s="143"/>
      <c r="P1" s="143"/>
      <c r="Q1" s="143"/>
      <c r="R1" s="143"/>
    </row>
    <row r="264" spans="4:5" ht="21" x14ac:dyDescent="0.5">
      <c r="D264" s="169"/>
      <c r="E264" s="169"/>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26953125" bestFit="1" customWidth="1"/>
    <col min="8" max="8" width="9.26953125" style="2"/>
    <col min="13" max="13" width="15.453125" bestFit="1" customWidth="1"/>
    <col min="15" max="15" width="58.7265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 ds:uri="http://purl.org/dc/terms/"/>
    <ds:schemaRef ds:uri="0a795077-0e4c-4682-a147-8ec713ec5728"/>
    <ds:schemaRef ds:uri="f7448ec1-8ab6-4f9a-8489-c98098ffcc66"/>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40000198-wvc-ctei-dec2025</dc:title>
  <dc:subject/>
  <dc:creator>Office of Financial Management;Christine Thomas</dc:creator>
  <cp:keywords/>
  <dc:description/>
  <cp:lastModifiedBy>Susan Locke</cp:lastModifiedBy>
  <cp:revision/>
  <dcterms:created xsi:type="dcterms:W3CDTF">2012-08-29T14:59:47Z</dcterms:created>
  <dcterms:modified xsi:type="dcterms:W3CDTF">2025-12-19T19:27:29Z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