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13_ncr:1_{42231376-EDEB-46CC-9667-0B7B5F5FC8BF}"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 i="3" l="1"/>
  <c r="G102" i="3"/>
  <c r="F83" i="3"/>
  <c r="E83" i="3"/>
  <c r="F82" i="3"/>
  <c r="E82" i="3"/>
  <c r="C33" i="3"/>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<sst xmlns="http://schemas.openxmlformats.org/spreadsheetml/2006/main" count="235" uniqueCount="214">
  <si>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</si>
  <si>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</si>
  <si>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</si>
  <si>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</si>
  <si>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</si>
  <si>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</si>
  <si>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</si>
  <si>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</si>
  <si>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</si>
  <si>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</si>
  <si>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</si>
  <si>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</si>
  <si>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</si>
  <si>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</si>
  <si>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</si>
  <si>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</si>
  <si>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</si>
  <si>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</si>
  <si>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</si>
  <si>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</si>
  <si>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</si>
  <si>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</si>
  <si>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</si>
  <si>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</si>
  <si>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</si>
  <si>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</si>
  <si>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</si>
  <si>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</si>
  <si>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</si>
  <si>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</si>
  <si>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</si>
  <si>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</si>
  <si>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</si>
  <si>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</si>
  <si>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</si>
  <si>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</si>
  <si>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</si>
  <si>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</si>
  <si>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</si>
  <si>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</si>
  <si>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</si>
  <si>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</si>
  <si>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</si>
  <si>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</si>
  <si>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</si>
  <si>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</si>
  <si>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</si>
  <si>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</si>
  <si>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</si>
  <si>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</si>
  <si>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</si>
  <si>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</si>
  <si>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</si>
  <si>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</si>
  <si>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</si>
  <si>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</si>
  <si>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</si>
  <si>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</si>
  <si>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</si>
  <si>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</si>
  <si>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</si>
  <si>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</si>
  <si>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</si>
  <si>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</si>
  <si>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</si>
  <si>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</si>
  <si>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</si>
  <si>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</si>
  <si>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</si>
  <si>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</si>
  <si>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</si>
  <si>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</si>
  <si>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</si>
  <si>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</si>
  <si>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</si>
  <si>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</si>
  <si>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</si>
  <si>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</si>
  <si>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</si>
  <si>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</si>
  <si>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</si>
  <si>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</si>
  <si>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</si>
  <si>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</si>
  <si>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</si>
  <si>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</si>
  <si>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</si>
  <si>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</si>
  <si>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</si>
  <si>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</si>
  <si>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</si>
  <si>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</si>
  <si>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</si>
  <si>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</si>
  <si>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</si>
  <si>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</si>
  <si>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</si>
  <si>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</si>
  <si>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</si>
  <si>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</si>
  <si>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</si>
  <si>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</si>
  <si>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</si>
  <si>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</si>
  <si>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</si>
  <si>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</si>
  <si>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</si>
  <si>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</si>
  <si>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</si>
  <si>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</si>
  <si>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</si>
  <si>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</si>
  <si>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</si>
  <si>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</si>
  <si>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</si>
  <si>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</si>
  <si>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</si>
  <si>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</si>
  <si>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</si>
  <si>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</si>
  <si>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</si>
  <si>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</si>
  <si>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</si>
  <si>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</si>
  <si>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</si>
  <si>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</si>
  <si>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</si>
  <si>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</si>
  <si>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</si>
  <si>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</si>
  <si>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</si>
  <si>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</si>
  <si>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</si>
  <si>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</si>
  <si>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</si>
  <si>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</si>
  <si>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</si>
  <si>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</si>
  <si>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</si>
  <si>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</si>
  <si>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</si>
  <si>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</si>
  <si>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</si>
  <si>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</si>
  <si>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</si>
  <si>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</si>
  <si>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</si>
  <si>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</si>
  <si>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</si>
  <si>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</si>
  <si>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</si>
  <si>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</si>
  <si>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</si>
  <si>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</si>
  <si>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</si>
  <si>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</si>
  <si>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</si>
  <si>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</si>
  <si>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</si>
  <si>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</si>
  <si>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</si>
  <si>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</si>
  <si>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</si>
  <si>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</si>
  <si>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</si>
  <si>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</si>
  <si>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</si>
  <si>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</si>
  <si>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</si>
  <si>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</si>
  <si>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</si>
  <si>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</si>
  <si>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</si>
  <si>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</si>
  <si>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</si>
  <si>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</si>
  <si>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</si>
  <si>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</si>
  <si>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</si>
  <si>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</si>
  <si>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</si>
  <si>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</si>
  <si>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</si>
  <si>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</si>
  <si>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</si>
  <si>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</si>
  <si>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Cascadia Community College CC5 Gateway building</t>
  </si>
  <si>
    <t xml:space="preserve">Shawna Pitts </t>
  </si>
  <si>
    <t>425-352-8513</t>
  </si>
  <si>
    <t>Spitts@Cascadia.edu</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</si>
  <si>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</si>
  <si>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C17</t>
  </si>
  <si>
    <t>Future</t>
  </si>
  <si>
    <t xml:space="preserve">Project not </t>
  </si>
  <si>
    <t xml:space="preserve">currently </t>
  </si>
  <si>
    <t xml:space="preserve">approved for </t>
  </si>
  <si>
    <t>funding until</t>
  </si>
  <si>
    <t>includes Basic Services</t>
  </si>
  <si>
    <t>permit &amp; connect fees</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</si>
  <si>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</si>
  <si>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</si>
  <si>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</si>
  <si>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8"/>
        <color theme="1"/>
        <rFont val="Calibri"/>
        <family val="2"/>
        <scheme val="minor"/>
      </rPr>
      <t>(Include scope or budget changes, phase updates, identified project delivery issues, discussion of critical path for construction and any potential for project cost overruns or claims.)</t>
    </r>
  </si>
  <si>
    <t xml:space="preserve">Design Development phase has been completed. The project is awaiting final review from the City of Bothell and issuance of the building permit. This project near "shovel-ready" status pending funding from the State. All construction documents have been completed and reviewed. The building permit is anticipated to be approved in January 2026. </t>
  </si>
  <si>
    <t>2021-23 Capital Request assumed Design Bid Build; current draft Predesign recommends GC/CM delivery method</t>
  </si>
  <si>
    <t xml:space="preserve">2023-2025- Capital Request was not approved. Building will be designed and then wait for the next biennium   </t>
  </si>
  <si>
    <t xml:space="preserve">Dec 2025-initial meeting in October 2024 with WA Arts Commission. </t>
  </si>
  <si>
    <t xml:space="preserve">C-100's (building and infrastructure) for the 2021-23 budget request total $36,852,000. A transposed entry was made in CBS for $36,582,000.
</t>
  </si>
  <si>
    <t xml:space="preserve">March 2024- Cascadia/Mahlum team proposed to both State and DES to remain GC/CM delivery method, all parties agreed due to complexity. </t>
  </si>
  <si>
    <t xml:space="preserve">The RFQ was drafted and posted for contractors to submit SOQs. </t>
  </si>
  <si>
    <t xml:space="preserve">June 2024- Currently in process of interviewing contractors to assist with the complexity of the project and involvement in the construction documents. </t>
  </si>
  <si>
    <t>Contractor to be secured by July 1, 2024.</t>
  </si>
  <si>
    <t xml:space="preserve">December 2025-The CC5 project was submitted for review with the supplemental budget. The construction documents are completed and the building permit </t>
  </si>
  <si>
    <t xml:space="preserve">with the City of Bothell is pending final review.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</si>
</sst>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0" fontId="0" fillId="0" borderId="10" xfId="0" applyBorder="1" applyAlignment="1" applyProtection="1">
      <alignment horizontal="left"/>
      <protection locked="0"/>
    </xf>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0" xfId="0" applyNumberFormat="1" applyBorder="1" applyAlignment="1" applyProtection="1">
      <alignment horizontal="left"/>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3" fillId="0" borderId="10"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3" fillId="0" borderId="10" xfId="0" applyFont="1" applyBorder="1" applyAlignment="1" applyProtection="1">
      <alignment horizontal="left"/>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2" xfId="0" applyBorder="1" applyAlignment="1" applyProtection="1">
      <alignment horizontal="centerContinuous" vertical="top" wrapText="1"/>
      <protection locked="0"/>
    </xf>
    <xf numFmtId="0" fontId="0" fillId="0" borderId="3" xfId="0" applyBorder="1" applyAlignment="1" applyProtection="1">
      <alignment horizontal="centerContinuous" vertical="top" wrapText="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4" xfId="0" applyBorder="1" applyAlignment="1" applyProtection="1">
      <alignmen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centerContinuous" vertical="top" wrapText="1"/>
      <protection locked="0"/>
    </xf>
    <xf numFmtId="0" fontId="0" fillId="0" borderId="5" xfId="0" applyBorder="1" applyAlignment="1" applyProtection="1">
      <alignment horizontal="centerContinuous" vertical="top" wrapText="1"/>
      <protection locked="0"/>
    </xf>
    <xf numFmtId="0" fontId="0" fillId="0" borderId="4" xfId="0" applyBorder="1" applyAlignment="1" applyProtection="1">
      <alignment horizontal="left" vertical="top"/>
      <protection locked="0"/>
    </xf>
  </cellXfs>
  <cellStyles count="5">
    <cellStyle name="Comma" xfId="1" builtinId="3"/>
    <cellStyle name="Currency" xfId="2" builtinId="4"/>
    <cellStyle name="Hyperlink" xfId="4" builtinId="8"/>
    <cellStyle name="Normal" xfId="0" builtinId="0"/>
    <cellStyle name="Percent" xfId="3" builtinId="5"/>
  </cellStyles>
  <dxfs count="10">
    <dxf>
      <fill>
        <patternFill>
          <bgColor rgb="FFCCFFFF"/>
        </patternFill>
      </fill>
    </dxf>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549275</xdr:colOff>
      <xdr:row>4</xdr:row>
      <xdr:rowOff>9525</xdr:rowOff>
    </xdr:from>
    <xdr:to>
      <xdr:col>7</xdr:col>
      <xdr:colOff>459509</xdr:colOff>
      <xdr:row>15</xdr:row>
      <xdr:rowOff>144570</xdr:rowOff>
    </xdr:to>
    <xdr:pic>
      <xdr:nvPicPr>
        <xdr:cNvPr id="14" name="Picture 13" descr="View of Gateway Building from the North along the Promenade&#10;">
          <a:extLst>
            <a:ext uri="{FF2B5EF4-FFF2-40B4-BE49-F238E27FC236}">
              <a16:creationId xmlns:a16="http://schemas.microsoft.com/office/drawing/2014/main" id="{58CDEA6A-AFF5-49A6-B8B2-87EFBB834F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9275" y="819150"/>
          <a:ext cx="4177434" cy="21257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349250</xdr:colOff>
      <xdr:row>16</xdr:row>
      <xdr:rowOff>104671</xdr:rowOff>
    </xdr:from>
    <xdr:to>
      <xdr:col>8</xdr:col>
      <xdr:colOff>107949</xdr:colOff>
      <xdr:row>17</xdr:row>
      <xdr:rowOff>152296</xdr:rowOff>
    </xdr:to>
    <xdr:sp macro="" textlink="" fLocksText="0">
      <xdr:nvSpPr>
        <xdr:cNvPr id="15" name="TextBox 14" descr="View of Gateway Building from the North along the Promenade&#10;">
          <a:extLst>
            <a:ext uri="{FF2B5EF4-FFF2-40B4-BE49-F238E27FC236}">
              <a16:creationId xmlns:a16="http://schemas.microsoft.com/office/drawing/2014/main" id="{AA342F53-3371-4651-BD35-C4C1D3293F48}"/>
            </a:ext>
          </a:extLst>
        </xdr:cNvPr>
        <xdr:cNvSpPr txBox="1"/>
      </xdr:nvSpPr>
      <xdr:spPr>
        <a:xfrm>
          <a:off x="349250" y="308599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10</xdr:col>
      <xdr:colOff>73025</xdr:colOff>
      <xdr:row>4</xdr:row>
      <xdr:rowOff>9525</xdr:rowOff>
    </xdr:from>
    <xdr:to>
      <xdr:col>16</xdr:col>
      <xdr:colOff>592859</xdr:colOff>
      <xdr:row>15</xdr:row>
      <xdr:rowOff>144570</xdr:rowOff>
    </xdr:to>
    <xdr:pic>
      <xdr:nvPicPr>
        <xdr:cNvPr id="16" name="Picture 15" descr="View of Gateway Building from the SW along the Promenade&#10;">
          <a:extLst>
            <a:ext uri="{FF2B5EF4-FFF2-40B4-BE49-F238E27FC236}">
              <a16:creationId xmlns:a16="http://schemas.microsoft.com/office/drawing/2014/main" id="{3621B1CF-205D-4BD2-A416-BD154B10E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9025" y="819150"/>
          <a:ext cx="4177434" cy="21257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482600</xdr:colOff>
      <xdr:row>16</xdr:row>
      <xdr:rowOff>57046</xdr:rowOff>
    </xdr:from>
    <xdr:to>
      <xdr:col>17</xdr:col>
      <xdr:colOff>241299</xdr:colOff>
      <xdr:row>17</xdr:row>
      <xdr:rowOff>104671</xdr:rowOff>
    </xdr:to>
    <xdr:sp macro="" textlink="" fLocksText="0">
      <xdr:nvSpPr>
        <xdr:cNvPr id="17" name="TextBox 16">
          <a:extLst>
            <a:ext uri="{FF2B5EF4-FFF2-40B4-BE49-F238E27FC236}">
              <a16:creationId xmlns:a16="http://schemas.microsoft.com/office/drawing/2014/main" id="{24B1A2BF-5894-485F-A58E-6727DC588620}"/>
            </a:ext>
          </a:extLst>
        </xdr:cNvPr>
        <xdr:cNvSpPr txBox="1"/>
      </xdr:nvSpPr>
      <xdr:spPr>
        <a:xfrm>
          <a:off x="5969000" y="30383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549275</xdr:colOff>
      <xdr:row>24</xdr:row>
      <xdr:rowOff>17287</xdr:rowOff>
    </xdr:from>
    <xdr:to>
      <xdr:col>7</xdr:col>
      <xdr:colOff>459509</xdr:colOff>
      <xdr:row>37</xdr:row>
      <xdr:rowOff>149507</xdr:rowOff>
    </xdr:to>
    <xdr:pic>
      <xdr:nvPicPr>
        <xdr:cNvPr id="18" name="Picture 17" descr="View of Gateway Building from the SE along Campus Way&#10;">
          <a:extLst>
            <a:ext uri="{FF2B5EF4-FFF2-40B4-BE49-F238E27FC236}">
              <a16:creationId xmlns:a16="http://schemas.microsoft.com/office/drawing/2014/main" id="{2C52B1E8-0D09-4763-BD45-305E28C12F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9275" y="4446412"/>
          <a:ext cx="4177434" cy="248489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352425</xdr:colOff>
      <xdr:row>38</xdr:row>
      <xdr:rowOff>126896</xdr:rowOff>
    </xdr:from>
    <xdr:to>
      <xdr:col>8</xdr:col>
      <xdr:colOff>104774</xdr:colOff>
      <xdr:row>39</xdr:row>
      <xdr:rowOff>171346</xdr:rowOff>
    </xdr:to>
    <xdr:sp macro="" textlink="" fLocksText="0">
      <xdr:nvSpPr>
        <xdr:cNvPr id="19" name="TextBox 18">
          <a:extLst>
            <a:ext uri="{FF2B5EF4-FFF2-40B4-BE49-F238E27FC236}">
              <a16:creationId xmlns:a16="http://schemas.microsoft.com/office/drawing/2014/main" id="{7FFEB5DC-55A5-477F-9DD6-376D76482E77}"/>
            </a:ext>
          </a:extLst>
        </xdr:cNvPr>
        <xdr:cNvSpPr txBox="1"/>
      </xdr:nvSpPr>
      <xdr:spPr>
        <a:xfrm>
          <a:off x="352425" y="7089671"/>
          <a:ext cx="46291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551811</xdr:colOff>
      <xdr:row>22</xdr:row>
      <xdr:rowOff>87638</xdr:rowOff>
    </xdr:from>
    <xdr:to>
      <xdr:col>16</xdr:col>
      <xdr:colOff>569911</xdr:colOff>
      <xdr:row>38</xdr:row>
      <xdr:rowOff>145946</xdr:rowOff>
    </xdr:to>
    <xdr:pic>
      <xdr:nvPicPr>
        <xdr:cNvPr id="20" name="Picture 19" descr="Site Plan&#10;">
          <a:extLst>
            <a:ext uri="{FF2B5EF4-FFF2-40B4-BE49-F238E27FC236}">
              <a16:creationId xmlns:a16="http://schemas.microsoft.com/office/drawing/2014/main" id="{C3F7CF5A-9337-40B9-9B14-CE5D3309FFE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2" b="2969"/>
        <a:stretch/>
      </xdr:blipFill>
      <xdr:spPr>
        <a:xfrm>
          <a:off x="6038211" y="4154813"/>
          <a:ext cx="4285300" cy="29539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358775</xdr:colOff>
      <xdr:row>39</xdr:row>
      <xdr:rowOff>47521</xdr:rowOff>
    </xdr:from>
    <xdr:to>
      <xdr:col>17</xdr:col>
      <xdr:colOff>117474</xdr:colOff>
      <xdr:row>40</xdr:row>
      <xdr:rowOff>95146</xdr:rowOff>
    </xdr:to>
    <xdr:sp macro="" textlink="" fLocksText="0">
      <xdr:nvSpPr>
        <xdr:cNvPr id="21" name="TextBox 20">
          <a:extLst>
            <a:ext uri="{FF2B5EF4-FFF2-40B4-BE49-F238E27FC236}">
              <a16:creationId xmlns:a16="http://schemas.microsoft.com/office/drawing/2014/main" id="{1378F6D5-1186-46F4-AF44-4A22670E143D}"/>
            </a:ext>
          </a:extLst>
        </xdr:cNvPr>
        <xdr:cNvSpPr txBox="1"/>
      </xdr:nvSpPr>
      <xdr:spPr>
        <a:xfrm>
          <a:off x="5845175" y="71912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549275</xdr:colOff>
      <xdr:row>45</xdr:row>
      <xdr:rowOff>35306</xdr:rowOff>
    </xdr:from>
    <xdr:to>
      <xdr:col>7</xdr:col>
      <xdr:colOff>459509</xdr:colOff>
      <xdr:row>58</xdr:row>
      <xdr:rowOff>112439</xdr:rowOff>
    </xdr:to>
    <xdr:pic>
      <xdr:nvPicPr>
        <xdr:cNvPr id="22" name="Picture 21" descr="Level U1 Plan&#10;">
          <a:extLst>
            <a:ext uri="{FF2B5EF4-FFF2-40B4-BE49-F238E27FC236}">
              <a16:creationId xmlns:a16="http://schemas.microsoft.com/office/drawing/2014/main" id="{225D2A85-A6D7-4CE3-A811-75DA030FB6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49275" y="8264906"/>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311150</xdr:colOff>
      <xdr:row>59</xdr:row>
      <xdr:rowOff>37996</xdr:rowOff>
    </xdr:from>
    <xdr:to>
      <xdr:col>8</xdr:col>
      <xdr:colOff>69849</xdr:colOff>
      <xdr:row>60</xdr:row>
      <xdr:rowOff>85621</xdr:rowOff>
    </xdr:to>
    <xdr:sp macro="" textlink="" fLocksText="0">
      <xdr:nvSpPr>
        <xdr:cNvPr id="23" name="TextBox 22">
          <a:extLst>
            <a:ext uri="{FF2B5EF4-FFF2-40B4-BE49-F238E27FC236}">
              <a16:creationId xmlns:a16="http://schemas.microsoft.com/office/drawing/2014/main" id="{4562C621-A38B-4D09-A6BE-5C7770595978}"/>
            </a:ext>
          </a:extLst>
        </xdr:cNvPr>
        <xdr:cNvSpPr txBox="1"/>
      </xdr:nvSpPr>
      <xdr:spPr>
        <a:xfrm>
          <a:off x="311150" y="1080124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73025</xdr:colOff>
      <xdr:row>45</xdr:row>
      <xdr:rowOff>35306</xdr:rowOff>
    </xdr:from>
    <xdr:to>
      <xdr:col>16</xdr:col>
      <xdr:colOff>592859</xdr:colOff>
      <xdr:row>58</xdr:row>
      <xdr:rowOff>112439</xdr:rowOff>
    </xdr:to>
    <xdr:pic>
      <xdr:nvPicPr>
        <xdr:cNvPr id="24" name="Picture 23" descr="Level 1 Plan&#10;">
          <a:extLst>
            <a:ext uri="{FF2B5EF4-FFF2-40B4-BE49-F238E27FC236}">
              <a16:creationId xmlns:a16="http://schemas.microsoft.com/office/drawing/2014/main" id="{8030F82D-8E48-4714-A4C0-7632878E8B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169025" y="8264906"/>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492125</xdr:colOff>
      <xdr:row>59</xdr:row>
      <xdr:rowOff>47521</xdr:rowOff>
    </xdr:from>
    <xdr:to>
      <xdr:col>17</xdr:col>
      <xdr:colOff>250824</xdr:colOff>
      <xdr:row>60</xdr:row>
      <xdr:rowOff>95146</xdr:rowOff>
    </xdr:to>
    <xdr:sp macro="" textlink="" fLocksText="0">
      <xdr:nvSpPr>
        <xdr:cNvPr id="25" name="TextBox 24">
          <a:extLst>
            <a:ext uri="{FF2B5EF4-FFF2-40B4-BE49-F238E27FC236}">
              <a16:creationId xmlns:a16="http://schemas.microsoft.com/office/drawing/2014/main" id="{5C2DD8A8-A680-4FBB-97C4-52F320A31F34}"/>
            </a:ext>
          </a:extLst>
        </xdr:cNvPr>
        <xdr:cNvSpPr txBox="1"/>
      </xdr:nvSpPr>
      <xdr:spPr>
        <a:xfrm>
          <a:off x="5978525" y="108107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549275</xdr:colOff>
      <xdr:row>66</xdr:row>
      <xdr:rowOff>35306</xdr:rowOff>
    </xdr:from>
    <xdr:to>
      <xdr:col>7</xdr:col>
      <xdr:colOff>459509</xdr:colOff>
      <xdr:row>79</xdr:row>
      <xdr:rowOff>112439</xdr:rowOff>
    </xdr:to>
    <xdr:pic>
      <xdr:nvPicPr>
        <xdr:cNvPr id="26" name="Picture 25" descr="Level 2 Plan&#10;">
          <a:extLst>
            <a:ext uri="{FF2B5EF4-FFF2-40B4-BE49-F238E27FC236}">
              <a16:creationId xmlns:a16="http://schemas.microsoft.com/office/drawing/2014/main" id="{4FB5D27E-86AC-4A21-89E8-DD49A6DD5A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49275" y="12065381"/>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339725</xdr:colOff>
      <xdr:row>80</xdr:row>
      <xdr:rowOff>28471</xdr:rowOff>
    </xdr:from>
    <xdr:to>
      <xdr:col>8</xdr:col>
      <xdr:colOff>98424</xdr:colOff>
      <xdr:row>81</xdr:row>
      <xdr:rowOff>76096</xdr:rowOff>
    </xdr:to>
    <xdr:sp macro="" textlink="" fLocksText="0">
      <xdr:nvSpPr>
        <xdr:cNvPr id="27" name="TextBox 26">
          <a:extLst>
            <a:ext uri="{FF2B5EF4-FFF2-40B4-BE49-F238E27FC236}">
              <a16:creationId xmlns:a16="http://schemas.microsoft.com/office/drawing/2014/main" id="{8CF2C2C1-7E84-420E-AC6C-A2BFBCE55D98}"/>
            </a:ext>
          </a:extLst>
        </xdr:cNvPr>
        <xdr:cNvSpPr txBox="1"/>
      </xdr:nvSpPr>
      <xdr:spPr>
        <a:xfrm>
          <a:off x="339725" y="1459219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73025</xdr:colOff>
      <xdr:row>66</xdr:row>
      <xdr:rowOff>35306</xdr:rowOff>
    </xdr:from>
    <xdr:to>
      <xdr:col>16</xdr:col>
      <xdr:colOff>592859</xdr:colOff>
      <xdr:row>79</xdr:row>
      <xdr:rowOff>112439</xdr:rowOff>
    </xdr:to>
    <xdr:pic>
      <xdr:nvPicPr>
        <xdr:cNvPr id="28" name="Picture 27" descr="Level 3 Plan&#10;">
          <a:extLst>
            <a:ext uri="{FF2B5EF4-FFF2-40B4-BE49-F238E27FC236}">
              <a16:creationId xmlns:a16="http://schemas.microsoft.com/office/drawing/2014/main" id="{1CF9367C-8CF2-4BDA-B224-30ECA3049F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169025" y="12065381"/>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454025</xdr:colOff>
      <xdr:row>80</xdr:row>
      <xdr:rowOff>47521</xdr:rowOff>
    </xdr:from>
    <xdr:to>
      <xdr:col>17</xdr:col>
      <xdr:colOff>212724</xdr:colOff>
      <xdr:row>81</xdr:row>
      <xdr:rowOff>95146</xdr:rowOff>
    </xdr:to>
    <xdr:sp macro="" textlink="" fLocksText="0">
      <xdr:nvSpPr>
        <xdr:cNvPr id="29" name="TextBox 28">
          <a:extLst>
            <a:ext uri="{FF2B5EF4-FFF2-40B4-BE49-F238E27FC236}">
              <a16:creationId xmlns:a16="http://schemas.microsoft.com/office/drawing/2014/main" id="{5DBA84FA-526F-4967-984E-518FB6002928}"/>
            </a:ext>
          </a:extLst>
        </xdr:cNvPr>
        <xdr:cNvSpPr txBox="1"/>
      </xdr:nvSpPr>
      <xdr:spPr>
        <a:xfrm>
          <a:off x="5940425" y="1461124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itts@Cascadia.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8" t="s">
        <v>0</v>
      </c>
      <c r="C1" s="128"/>
      <c r="D1" s="128"/>
      <c r="E1" s="128"/>
      <c r="F1" s="128"/>
      <c r="G1" s="128"/>
      <c r="H1" s="128"/>
      <c r="I1" s="128"/>
      <c r="J1" s="52"/>
    </row>
    <row r="2" spans="1:10" x14ac:dyDescent="0.35">
      <c r="A2" s="53"/>
      <c r="B2" s="97"/>
      <c r="C2" s="97"/>
      <c r="D2" s="97"/>
      <c r="E2" s="97" t="s">
        <v>1</v>
      </c>
      <c r="F2" s="97"/>
      <c r="G2" s="97"/>
      <c r="H2" s="97"/>
      <c r="I2" s="97"/>
      <c r="J2" s="54"/>
    </row>
    <row r="3" spans="1:10" ht="21" x14ac:dyDescent="0.5">
      <c r="A3" s="53"/>
      <c r="B3" s="129" t="s">
        <v>2</v>
      </c>
      <c r="C3" s="129"/>
      <c r="D3" s="129"/>
      <c r="E3" s="129"/>
      <c r="F3" s="129"/>
      <c r="G3" s="129"/>
      <c r="H3" s="129"/>
      <c r="I3" s="129"/>
      <c r="J3" s="98"/>
    </row>
    <row r="4" spans="1:10" ht="21" customHeight="1" x14ac:dyDescent="0.5">
      <c r="A4" s="55"/>
      <c r="B4" s="127" t="s">
        <v>185</v>
      </c>
      <c r="C4" s="127"/>
      <c r="D4" s="127"/>
      <c r="E4" s="127"/>
      <c r="F4" s="127"/>
      <c r="G4" s="127"/>
      <c r="H4" s="127"/>
      <c r="I4" s="127"/>
      <c r="J4" s="99"/>
    </row>
    <row r="5" spans="1:10" s="1" customFormat="1" x14ac:dyDescent="0.35">
      <c r="A5" s="56"/>
      <c r="B5" t="s">
        <v>4</v>
      </c>
      <c r="C5" s="193">
        <v>699</v>
      </c>
      <c r="D5" s="193"/>
      <c r="E5" s="193"/>
      <c r="F5" s="193"/>
      <c r="G5" s="193"/>
      <c r="H5" s="193"/>
      <c r="J5" s="57"/>
    </row>
    <row r="6" spans="1:10" s="1" customFormat="1" x14ac:dyDescent="0.35">
      <c r="A6" s="56"/>
      <c r="B6" t="s">
        <v>5</v>
      </c>
      <c r="C6" s="195" t="s">
        <v>186</v>
      </c>
      <c r="D6" s="196"/>
      <c r="E6" s="196"/>
      <c r="F6" s="196"/>
      <c r="G6" s="196"/>
      <c r="H6" s="197"/>
      <c r="J6" s="57"/>
    </row>
    <row r="7" spans="1:10" s="1" customFormat="1" ht="15" thickBot="1" x14ac:dyDescent="0.4">
      <c r="A7" s="58"/>
      <c r="B7" s="59" t="s">
        <v>6</v>
      </c>
      <c r="C7" s="194">
        <v>40000222</v>
      </c>
      <c r="D7" s="194"/>
      <c r="E7" s="194"/>
      <c r="F7" s="194"/>
      <c r="G7" s="194"/>
      <c r="H7" s="194"/>
      <c r="I7" s="60"/>
      <c r="J7" s="61"/>
    </row>
    <row r="8" spans="1:10" s="1" customFormat="1" ht="10" customHeight="1" thickTop="1" x14ac:dyDescent="0.35">
      <c r="A8" s="56"/>
      <c r="B8"/>
      <c r="C8"/>
      <c r="D8" s="117"/>
      <c r="J8" s="57"/>
    </row>
    <row r="9" spans="1:10" s="1" customFormat="1" x14ac:dyDescent="0.35">
      <c r="A9" s="56"/>
      <c r="B9" s="130" t="s">
        <v>7</v>
      </c>
      <c r="C9" s="131"/>
      <c r="D9" s="131"/>
      <c r="E9" s="131"/>
      <c r="F9" s="131"/>
      <c r="G9" s="131"/>
      <c r="H9" s="131"/>
      <c r="I9" s="132"/>
      <c r="J9" s="57"/>
    </row>
    <row r="10" spans="1:10" s="1" customFormat="1" x14ac:dyDescent="0.35">
      <c r="A10" s="56"/>
      <c r="B10" s="15" t="s">
        <v>8</v>
      </c>
      <c r="C10" s="193" t="s">
        <v>187</v>
      </c>
      <c r="D10" s="193"/>
      <c r="E10" s="193"/>
      <c r="F10" s="193"/>
      <c r="G10" s="193"/>
      <c r="H10" s="193"/>
      <c r="I10" s="62"/>
      <c r="J10" s="57"/>
    </row>
    <row r="11" spans="1:10" s="1" customFormat="1" x14ac:dyDescent="0.35">
      <c r="A11" s="56"/>
      <c r="B11" s="15" t="s">
        <v>9</v>
      </c>
      <c r="C11" s="212" t="s">
        <v>188</v>
      </c>
      <c r="D11" s="212"/>
      <c r="E11" s="212"/>
      <c r="F11" s="212"/>
      <c r="G11" s="212"/>
      <c r="H11" s="212"/>
      <c r="I11" s="62"/>
      <c r="J11" s="57"/>
    </row>
    <row r="12" spans="1:10" s="1" customFormat="1" x14ac:dyDescent="0.35">
      <c r="A12" s="56"/>
      <c r="B12" s="18" t="s">
        <v>10</v>
      </c>
      <c r="C12" s="213" t="s">
        <v>189</v>
      </c>
      <c r="D12" s="213"/>
      <c r="E12" s="213"/>
      <c r="F12" s="213"/>
      <c r="G12" s="213"/>
      <c r="H12" s="213"/>
      <c r="I12" s="63"/>
      <c r="J12" s="57"/>
    </row>
    <row r="13" spans="1:10" ht="10" customHeight="1" thickBot="1" x14ac:dyDescent="0.4">
      <c r="A13" s="53"/>
      <c r="D13" s="64"/>
      <c r="J13" s="54"/>
    </row>
    <row r="14" spans="1:10" s="65" customFormat="1" ht="27" customHeight="1" thickTop="1" thickBot="1" x14ac:dyDescent="0.4">
      <c r="A14" s="133" t="s">
        <v>11</v>
      </c>
      <c r="B14" s="134"/>
      <c r="C14" s="134"/>
      <c r="D14" s="134"/>
      <c r="E14" s="134"/>
      <c r="F14" s="134"/>
      <c r="G14" s="134"/>
      <c r="H14" s="134"/>
      <c r="I14" s="134"/>
      <c r="J14" s="135"/>
    </row>
    <row r="15" spans="1:10" ht="10" customHeight="1" thickTop="1" x14ac:dyDescent="0.35">
      <c r="A15" s="53"/>
      <c r="D15" s="64"/>
      <c r="J15" s="54"/>
    </row>
    <row r="16" spans="1:10" ht="72.5" customHeight="1" x14ac:dyDescent="0.35">
      <c r="A16" s="53"/>
      <c r="B16" s="183" t="s">
        <v>201</v>
      </c>
      <c r="C16" s="180" t="s">
        <v>190</v>
      </c>
      <c r="D16" s="181"/>
      <c r="E16" s="181"/>
      <c r="F16" s="181"/>
      <c r="G16" s="181"/>
      <c r="H16" s="181"/>
      <c r="I16" s="182"/>
      <c r="J16" s="54"/>
    </row>
    <row r="17" spans="1:10" ht="7" customHeight="1" x14ac:dyDescent="0.35">
      <c r="A17" s="53"/>
      <c r="B17" s="151"/>
      <c r="C17" s="174"/>
      <c r="D17" s="175"/>
      <c r="E17" s="175"/>
      <c r="F17" s="175"/>
      <c r="G17" s="175"/>
      <c r="H17" s="175"/>
      <c r="I17" s="176"/>
      <c r="J17" s="54"/>
    </row>
    <row r="18" spans="1:10" ht="7" customHeight="1" x14ac:dyDescent="0.35">
      <c r="A18" s="53"/>
      <c r="B18" s="151"/>
      <c r="C18" s="174"/>
      <c r="D18" s="175"/>
      <c r="E18" s="175"/>
      <c r="F18" s="175"/>
      <c r="G18" s="175"/>
      <c r="H18" s="175"/>
      <c r="I18" s="176"/>
      <c r="J18" s="54"/>
    </row>
    <row r="19" spans="1:10" ht="7" customHeight="1" x14ac:dyDescent="0.35">
      <c r="A19" s="53"/>
      <c r="B19" s="151"/>
      <c r="C19" s="177"/>
      <c r="D19" s="178"/>
      <c r="E19" s="178"/>
      <c r="F19" s="178"/>
      <c r="G19" s="178"/>
      <c r="H19" s="178"/>
      <c r="I19" s="179"/>
      <c r="J19" s="54"/>
    </row>
    <row r="20" spans="1:10" ht="10" customHeight="1" x14ac:dyDescent="0.35">
      <c r="A20" s="53"/>
      <c r="B20" s="66"/>
      <c r="C20" s="67"/>
      <c r="D20" s="67"/>
      <c r="E20" s="67"/>
      <c r="F20" s="67"/>
      <c r="G20" s="67"/>
      <c r="H20" s="67"/>
      <c r="I20" s="87"/>
      <c r="J20" s="54"/>
    </row>
    <row r="21" spans="1:10" ht="61.5" customHeight="1" x14ac:dyDescent="0.35">
      <c r="A21" s="53"/>
      <c r="B21" s="184" t="s">
        <v>202</v>
      </c>
      <c r="C21" s="180" t="s">
        <v>203</v>
      </c>
      <c r="D21" s="181"/>
      <c r="E21" s="181"/>
      <c r="F21" s="181"/>
      <c r="G21" s="181"/>
      <c r="H21" s="181"/>
      <c r="I21" s="182"/>
      <c r="J21" s="54"/>
    </row>
    <row r="22" spans="1:10" ht="5.5" customHeight="1" x14ac:dyDescent="0.35">
      <c r="A22" s="53"/>
      <c r="B22" s="149"/>
      <c r="C22" s="174"/>
      <c r="D22" s="175"/>
      <c r="E22" s="175"/>
      <c r="F22" s="175"/>
      <c r="G22" s="175"/>
      <c r="H22" s="175"/>
      <c r="I22" s="176"/>
      <c r="J22" s="54"/>
    </row>
    <row r="23" spans="1:10" ht="5.5" customHeight="1" x14ac:dyDescent="0.35">
      <c r="A23" s="53"/>
      <c r="B23" s="149"/>
      <c r="C23" s="174"/>
      <c r="D23" s="175"/>
      <c r="E23" s="175"/>
      <c r="F23" s="175"/>
      <c r="G23" s="175"/>
      <c r="H23" s="175"/>
      <c r="I23" s="176"/>
      <c r="J23" s="54"/>
    </row>
    <row r="24" spans="1:10" ht="5.5" customHeight="1" x14ac:dyDescent="0.35">
      <c r="A24" s="53"/>
      <c r="B24" s="149"/>
      <c r="C24" s="174"/>
      <c r="D24" s="175"/>
      <c r="E24" s="175"/>
      <c r="F24" s="175"/>
      <c r="G24" s="175"/>
      <c r="H24" s="175"/>
      <c r="I24" s="176"/>
      <c r="J24" s="54"/>
    </row>
    <row r="25" spans="1:10" ht="5.5" customHeight="1" x14ac:dyDescent="0.35">
      <c r="A25" s="53"/>
      <c r="B25" s="149"/>
      <c r="C25" s="174"/>
      <c r="D25" s="175"/>
      <c r="E25" s="175"/>
      <c r="F25" s="175"/>
      <c r="G25" s="175"/>
      <c r="H25" s="175"/>
      <c r="I25" s="176"/>
      <c r="J25" s="54"/>
    </row>
    <row r="26" spans="1:10" ht="5.5" customHeight="1" x14ac:dyDescent="0.35">
      <c r="A26" s="53"/>
      <c r="B26" s="149"/>
      <c r="C26" s="174"/>
      <c r="D26" s="175"/>
      <c r="E26" s="175"/>
      <c r="F26" s="175"/>
      <c r="G26" s="175"/>
      <c r="H26" s="175"/>
      <c r="I26" s="176"/>
      <c r="J26" s="54"/>
    </row>
    <row r="27" spans="1:10" ht="5.5" customHeight="1" x14ac:dyDescent="0.35">
      <c r="A27" s="53"/>
      <c r="B27" s="150"/>
      <c r="C27" s="177"/>
      <c r="D27" s="178"/>
      <c r="E27" s="178"/>
      <c r="F27" s="178"/>
      <c r="G27" s="178"/>
      <c r="H27" s="178"/>
      <c r="I27" s="179"/>
      <c r="J27" s="54"/>
    </row>
    <row r="28" spans="1:10" ht="10" customHeight="1" x14ac:dyDescent="0.35">
      <c r="A28" s="53"/>
      <c r="D28" s="64"/>
      <c r="J28" s="54"/>
    </row>
    <row r="29" spans="1:10" s="1" customFormat="1" x14ac:dyDescent="0.35">
      <c r="A29" s="56"/>
      <c r="B29" s="130" t="s">
        <v>12</v>
      </c>
      <c r="C29" s="131"/>
      <c r="D29" s="131"/>
      <c r="E29" s="131"/>
      <c r="F29" s="131"/>
      <c r="G29" s="131"/>
      <c r="H29" s="131"/>
      <c r="I29" s="132"/>
      <c r="J29" s="57"/>
    </row>
    <row r="30" spans="1:10" ht="15" customHeight="1" x14ac:dyDescent="0.35">
      <c r="A30" s="53"/>
      <c r="B30" s="68"/>
      <c r="C30" s="136" t="s">
        <v>13</v>
      </c>
      <c r="D30" s="137"/>
      <c r="E30" s="137"/>
      <c r="F30" s="137"/>
      <c r="G30" s="138"/>
      <c r="H30" s="138"/>
      <c r="I30" s="152"/>
      <c r="J30" s="54"/>
    </row>
    <row r="31" spans="1:10" ht="15" customHeight="1" thickBot="1" x14ac:dyDescent="0.4">
      <c r="A31" s="53"/>
      <c r="B31" s="68"/>
      <c r="C31" s="136" t="s">
        <v>14</v>
      </c>
      <c r="D31" s="139"/>
      <c r="E31" s="136" t="s">
        <v>15</v>
      </c>
      <c r="F31" s="137"/>
      <c r="G31" s="137"/>
      <c r="H31" s="13"/>
      <c r="I31" s="153"/>
      <c r="J31" s="54"/>
    </row>
    <row r="32" spans="1:10" s="1" customFormat="1" ht="29" x14ac:dyDescent="0.35">
      <c r="A32" s="56"/>
      <c r="B32" s="10" t="s">
        <v>18</v>
      </c>
      <c r="C32" s="69" t="s">
        <v>19</v>
      </c>
      <c r="D32" s="4" t="s">
        <v>20</v>
      </c>
      <c r="E32" s="4" t="s">
        <v>21</v>
      </c>
      <c r="F32" s="4" t="s">
        <v>22</v>
      </c>
      <c r="G32" s="5" t="s">
        <v>23</v>
      </c>
      <c r="H32" s="122" t="s">
        <v>16</v>
      </c>
      <c r="I32" s="123"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199</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2667327.6800000002</v>
      </c>
      <c r="D38" s="45">
        <f>SUM(D39:D42)</f>
        <v>299185.81</v>
      </c>
      <c r="E38" s="45">
        <f>SUM(E39:E42)</f>
        <v>129486.50999999978</v>
      </c>
      <c r="F38" s="45">
        <f>SUM(F39:F42)</f>
        <v>0</v>
      </c>
      <c r="G38" s="46">
        <f>SUM(G39:G42)</f>
        <v>0</v>
      </c>
      <c r="H38" s="47">
        <f>SUM(C38:G38)</f>
        <v>3096000</v>
      </c>
      <c r="I38" s="7"/>
      <c r="J38" s="54"/>
    </row>
    <row r="39" spans="1:10" x14ac:dyDescent="0.35">
      <c r="A39" s="53"/>
      <c r="B39" s="8" t="s">
        <v>199</v>
      </c>
      <c r="C39" s="100">
        <v>2667327.6800000002</v>
      </c>
      <c r="D39" s="101">
        <v>299185.81</v>
      </c>
      <c r="E39" s="101">
        <f>3096000-(C39+D39)</f>
        <v>129486.50999999978</v>
      </c>
      <c r="F39" s="101"/>
      <c r="G39" s="102"/>
      <c r="H39" s="9">
        <f>SUM(C39:G39)</f>
        <v>3096000</v>
      </c>
      <c r="I39" s="162" t="s">
        <v>191</v>
      </c>
      <c r="J39" s="54"/>
    </row>
    <row r="40" spans="1:10" x14ac:dyDescent="0.35">
      <c r="A40" s="53"/>
      <c r="B40" s="96" t="s">
        <v>25</v>
      </c>
      <c r="C40" s="100"/>
      <c r="D40" s="101"/>
      <c r="E40" s="101"/>
      <c r="F40" s="101"/>
      <c r="G40" s="102"/>
      <c r="H40" s="9">
        <f>SUM(C40:G40)</f>
        <v>0</v>
      </c>
      <c r="I40" s="162"/>
      <c r="J40" s="54"/>
    </row>
    <row r="41" spans="1:10" x14ac:dyDescent="0.35">
      <c r="A41" s="53"/>
      <c r="B41" s="96" t="s">
        <v>26</v>
      </c>
      <c r="C41" s="100"/>
      <c r="D41" s="101"/>
      <c r="E41" s="101"/>
      <c r="F41" s="101"/>
      <c r="G41" s="102"/>
      <c r="H41" s="9">
        <f t="shared" ref="H41:H42" si="1">SUM(C41:G41)</f>
        <v>0</v>
      </c>
      <c r="I41" s="162"/>
      <c r="J41" s="54"/>
    </row>
    <row r="42" spans="1:10" x14ac:dyDescent="0.35">
      <c r="A42" s="53"/>
      <c r="B42" s="95" t="s">
        <v>27</v>
      </c>
      <c r="C42" s="100"/>
      <c r="D42" s="101"/>
      <c r="E42" s="101"/>
      <c r="F42" s="101"/>
      <c r="G42" s="102"/>
      <c r="H42" s="9">
        <f t="shared" si="1"/>
        <v>0</v>
      </c>
      <c r="I42" s="162"/>
      <c r="J42" s="54"/>
    </row>
    <row r="43" spans="1:10" x14ac:dyDescent="0.35">
      <c r="A43" s="53"/>
      <c r="B43" s="6" t="s">
        <v>29</v>
      </c>
      <c r="C43" s="45">
        <f>SUM(C44:C47)</f>
        <v>0</v>
      </c>
      <c r="D43" s="45">
        <f>SUM(D44:D47)</f>
        <v>0</v>
      </c>
      <c r="E43" s="45">
        <f>SUM(E44:E47)</f>
        <v>0</v>
      </c>
      <c r="F43" s="45">
        <f>SUM(F44:F47)</f>
        <v>0</v>
      </c>
      <c r="G43" s="46">
        <f>SUM(G44:G47)</f>
        <v>0</v>
      </c>
      <c r="H43" s="47">
        <f>SUM(C43:G43)</f>
        <v>0</v>
      </c>
      <c r="I43" s="7"/>
      <c r="J43" s="54"/>
    </row>
    <row r="44" spans="1:10" x14ac:dyDescent="0.35">
      <c r="A44" s="53"/>
      <c r="B44" s="8" t="s">
        <v>199</v>
      </c>
      <c r="C44" s="100"/>
      <c r="D44" s="101"/>
      <c r="E44" s="101"/>
      <c r="F44" s="101"/>
      <c r="G44" s="102"/>
      <c r="H44" s="9">
        <f>SUM(C44:G44)</f>
        <v>0</v>
      </c>
      <c r="I44" s="162" t="s">
        <v>192</v>
      </c>
      <c r="J44" s="54"/>
    </row>
    <row r="45" spans="1:10" x14ac:dyDescent="0.35">
      <c r="A45" s="53"/>
      <c r="B45" s="96" t="s">
        <v>25</v>
      </c>
      <c r="C45" s="100"/>
      <c r="D45" s="101"/>
      <c r="E45" s="101"/>
      <c r="F45" s="101"/>
      <c r="G45" s="102"/>
      <c r="H45" s="9">
        <f>SUM(C45:G45)</f>
        <v>0</v>
      </c>
      <c r="I45" s="103"/>
      <c r="J45" s="54"/>
    </row>
    <row r="46" spans="1:10" x14ac:dyDescent="0.35">
      <c r="A46" s="53"/>
      <c r="B46" s="96" t="s">
        <v>26</v>
      </c>
      <c r="C46" s="100"/>
      <c r="D46" s="101"/>
      <c r="E46" s="101"/>
      <c r="F46" s="101"/>
      <c r="G46" s="102"/>
      <c r="H46" s="9">
        <f t="shared" ref="H46:H47" si="2">SUM(C46:G46)</f>
        <v>0</v>
      </c>
      <c r="I46" s="103"/>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2667327.6800000002</v>
      </c>
      <c r="D48" s="48">
        <f>D33+D38+D43</f>
        <v>299185.81</v>
      </c>
      <c r="E48" s="48">
        <f>E33+E38+E43</f>
        <v>129486.50999999978</v>
      </c>
      <c r="F48" s="48">
        <f>F33+F38+F43</f>
        <v>0</v>
      </c>
      <c r="G48" s="49">
        <f>G33+G38+G43</f>
        <v>0</v>
      </c>
      <c r="H48" s="50">
        <f>SUM(C48:G48)</f>
        <v>3096000</v>
      </c>
      <c r="I48" s="7"/>
      <c r="J48" s="57"/>
    </row>
    <row r="49" spans="1:10" s="1" customFormat="1" ht="10" customHeight="1" x14ac:dyDescent="0.35">
      <c r="A49" s="56"/>
      <c r="C49" s="70"/>
      <c r="D49" s="70"/>
      <c r="J49" s="57"/>
    </row>
    <row r="50" spans="1:10" s="1" customFormat="1" x14ac:dyDescent="0.35">
      <c r="A50" s="56"/>
      <c r="B50" s="140" t="s">
        <v>31</v>
      </c>
      <c r="C50" s="141"/>
      <c r="D50" s="141"/>
      <c r="E50" s="141"/>
      <c r="F50" s="141"/>
      <c r="G50" s="141"/>
      <c r="H50" s="141"/>
      <c r="I50" s="142"/>
      <c r="J50" s="57"/>
    </row>
    <row r="51" spans="1:10" x14ac:dyDescent="0.35">
      <c r="A51" s="53"/>
      <c r="B51" s="71" t="s">
        <v>32</v>
      </c>
      <c r="C51" s="217" t="s">
        <v>114</v>
      </c>
      <c r="D51" s="217"/>
      <c r="E51" s="216" t="s">
        <v>33</v>
      </c>
      <c r="F51" s="216"/>
      <c r="G51" s="214" t="s">
        <v>93</v>
      </c>
      <c r="H51" s="214"/>
      <c r="I51" s="16"/>
      <c r="J51" s="54"/>
    </row>
    <row r="52" spans="1:10" x14ac:dyDescent="0.35">
      <c r="A52" s="53"/>
      <c r="B52" s="15" t="s">
        <v>200</v>
      </c>
      <c r="C52" s="218">
        <v>0</v>
      </c>
      <c r="D52" s="219"/>
      <c r="E52" t="s">
        <v>34</v>
      </c>
      <c r="G52" s="215" t="s">
        <v>92</v>
      </c>
      <c r="H52" s="215"/>
      <c r="I52" s="16"/>
      <c r="J52" s="54"/>
    </row>
    <row r="53" spans="1:10" x14ac:dyDescent="0.35">
      <c r="A53" s="53"/>
      <c r="B53" s="18" t="s">
        <v>35</v>
      </c>
      <c r="C53" s="215" t="s">
        <v>99</v>
      </c>
      <c r="D53" s="215"/>
      <c r="E53" s="19" t="s">
        <v>36</v>
      </c>
      <c r="F53" s="19"/>
      <c r="G53" s="215" t="s">
        <v>92</v>
      </c>
      <c r="H53" s="215"/>
      <c r="I53" s="20"/>
      <c r="J53" s="54"/>
    </row>
    <row r="54" spans="1:10" ht="10" customHeight="1" x14ac:dyDescent="0.35">
      <c r="A54" s="53"/>
      <c r="J54" s="54"/>
    </row>
    <row r="55" spans="1:10" x14ac:dyDescent="0.35">
      <c r="A55" s="53"/>
      <c r="B55" s="140" t="s">
        <v>37</v>
      </c>
      <c r="C55" s="141"/>
      <c r="D55" s="141"/>
      <c r="E55" s="141"/>
      <c r="F55" s="141"/>
      <c r="G55" s="141"/>
      <c r="H55" s="141"/>
      <c r="I55" s="142"/>
      <c r="J55" s="54"/>
    </row>
    <row r="56" spans="1:10" ht="75" customHeight="1" x14ac:dyDescent="0.35">
      <c r="A56" s="53"/>
      <c r="B56" s="148" t="s">
        <v>38</v>
      </c>
      <c r="C56" s="148"/>
      <c r="D56" s="148"/>
      <c r="E56" s="69" t="s">
        <v>39</v>
      </c>
      <c r="F56" s="69" t="s">
        <v>40</v>
      </c>
      <c r="G56" s="69" t="str">
        <f>IF(FCOR=TRUE, "Actuals at Final Completion", "Actuals to Date")</f>
        <v>Actuals to Date</v>
      </c>
      <c r="H56" s="88" t="s">
        <v>41</v>
      </c>
      <c r="I56" s="11" t="s">
        <v>17</v>
      </c>
      <c r="J56" s="54"/>
    </row>
    <row r="57" spans="1:10" x14ac:dyDescent="0.35">
      <c r="A57" s="53"/>
      <c r="B57" s="12" t="s">
        <v>42</v>
      </c>
      <c r="C57" s="13"/>
      <c r="D57" s="14"/>
      <c r="E57" s="163">
        <v>37200</v>
      </c>
      <c r="F57" s="163">
        <v>37200</v>
      </c>
      <c r="G57" s="164">
        <v>37203</v>
      </c>
      <c r="H57" s="89">
        <f>IF($H$56=Lists!$D$8, IFERROR(F57-E57, ""), IF($H$56=Lists!$D$9, IFERROR(G57-E57, ""), IFERROR(G57-F57, "")))</f>
        <v>3</v>
      </c>
      <c r="I57" s="116"/>
      <c r="J57" s="54"/>
    </row>
    <row r="58" spans="1:10" x14ac:dyDescent="0.35">
      <c r="A58" s="53"/>
      <c r="B58" s="15" t="s">
        <v>43</v>
      </c>
      <c r="D58" s="16"/>
      <c r="E58" s="163">
        <v>24230</v>
      </c>
      <c r="F58" s="163">
        <v>24230</v>
      </c>
      <c r="G58" s="164">
        <v>22968</v>
      </c>
      <c r="H58" s="89">
        <f>IF($H$56=Lists!$D$8, IFERROR(F58-E58, ""), IF($H$56=Lists!$D$9, IFERROR(G58-E58, ""), IFERROR(G58-F58, "")))</f>
        <v>-1262</v>
      </c>
      <c r="I58" s="116"/>
      <c r="J58" s="54"/>
    </row>
    <row r="59" spans="1:10" x14ac:dyDescent="0.35">
      <c r="A59" s="53"/>
      <c r="B59" s="15" t="s">
        <v>44</v>
      </c>
      <c r="D59" s="16"/>
      <c r="E59" s="17">
        <f>IFERROR(E58/E57, "")</f>
        <v>0.6513440860215054</v>
      </c>
      <c r="F59" s="17">
        <f t="shared" ref="F59:G59" si="3">IFERROR(F58/F57, "")</f>
        <v>0.6513440860215054</v>
      </c>
      <c r="G59" s="17">
        <f t="shared" si="3"/>
        <v>0.61736956697040557</v>
      </c>
      <c r="H59" s="90">
        <f t="shared" ref="H59" si="4">IFERROR(G59-F59, "")</f>
        <v>-3.3974519051099827E-2</v>
      </c>
      <c r="I59" s="72"/>
      <c r="J59" s="54"/>
    </row>
    <row r="60" spans="1:10" x14ac:dyDescent="0.35">
      <c r="A60" s="53"/>
      <c r="B60" s="15" t="s">
        <v>45</v>
      </c>
      <c r="D60" s="16"/>
      <c r="E60" s="104"/>
      <c r="F60" s="104"/>
      <c r="G60" s="105"/>
      <c r="H60" s="91">
        <f>IF($H$56=Lists!$D$8, IFERROR(F60-E60, ""), IF($H$56=Lists!$D$9, IFERROR(G60-E60, ""), IFERROR(G60-F60, "")))</f>
        <v>0</v>
      </c>
      <c r="I60" s="116"/>
      <c r="J60" s="54"/>
    </row>
    <row r="61" spans="1:10" x14ac:dyDescent="0.35">
      <c r="A61" s="53"/>
      <c r="B61" s="18" t="s">
        <v>46</v>
      </c>
      <c r="C61" s="19"/>
      <c r="D61" s="20"/>
      <c r="E61" s="105"/>
      <c r="F61" s="105"/>
      <c r="G61" s="105"/>
      <c r="H61" s="91">
        <f>IF($H$56=Lists!$D$8, IFERROR(F61-E61, ""), IF($H$56=Lists!$D$9, IFERROR(G61-E61, ""), IFERROR(G61-F61, "")))</f>
        <v>0</v>
      </c>
      <c r="I61" s="115"/>
      <c r="J61" s="54"/>
    </row>
    <row r="62" spans="1:10" x14ac:dyDescent="0.35">
      <c r="A62" s="53"/>
      <c r="B62" s="15" t="s">
        <v>47</v>
      </c>
      <c r="E62" s="21">
        <f>IFERROR(E91/E57, "")</f>
        <v>653.90927419354841</v>
      </c>
      <c r="F62" s="21">
        <f>IFERROR(F91/F57, "")</f>
        <v>653.90927419354841</v>
      </c>
      <c r="G62" s="21">
        <f>IFERROR(G91/G57, "")</f>
        <v>0</v>
      </c>
      <c r="H62" s="92">
        <f>IF($H$56=Lists!$D$8, IFERROR(F62-E62, ""), IF($H$56=Lists!$D$9, IFERROR(G62-E62, ""), IFERROR(G62-F62, "")))</f>
        <v>-653.90927419354841</v>
      </c>
      <c r="I62" s="73"/>
      <c r="J62" s="54"/>
    </row>
    <row r="63" spans="1:10" x14ac:dyDescent="0.35">
      <c r="A63" s="53"/>
      <c r="B63" s="18" t="s">
        <v>48</v>
      </c>
      <c r="C63" s="19"/>
      <c r="D63" s="20"/>
      <c r="E63" s="22">
        <f>IFERROR(E97/E57, "")</f>
        <v>829.15879032258067</v>
      </c>
      <c r="F63" s="22">
        <f>IFERROR(F97/F57, "")</f>
        <v>829.15879032258067</v>
      </c>
      <c r="G63" s="22">
        <f>IFERROR(G97/G57, "")</f>
        <v>6.3166948901970272</v>
      </c>
      <c r="H63" s="92">
        <f>IF($H$56=Lists!$D$8, IFERROR(F63-E63, ""), IF($H$56=Lists!$D$9, IFERROR(G63-E63, ""), IFERROR(G63-F63, "")))</f>
        <v>-822.84209543238364</v>
      </c>
      <c r="I63" s="74"/>
      <c r="J63" s="54"/>
    </row>
    <row r="64" spans="1:10" x14ac:dyDescent="0.35">
      <c r="A64" s="53"/>
      <c r="B64" s="143" t="s">
        <v>49</v>
      </c>
      <c r="C64" s="144"/>
      <c r="D64" s="144"/>
      <c r="E64" s="144"/>
      <c r="F64" s="144"/>
      <c r="G64" s="144"/>
      <c r="H64" s="144"/>
      <c r="I64" s="145"/>
      <c r="J64" s="54"/>
    </row>
    <row r="65" spans="1:10" x14ac:dyDescent="0.35">
      <c r="A65" s="53"/>
      <c r="B65" s="12" t="s">
        <v>50</v>
      </c>
      <c r="C65" s="13"/>
      <c r="D65" s="14"/>
      <c r="E65" s="165">
        <v>44743</v>
      </c>
      <c r="F65" s="165">
        <v>44743</v>
      </c>
      <c r="G65" s="165">
        <v>44784</v>
      </c>
      <c r="H65" s="89" t="str">
        <f>IF(SUM(E65:G65)=0, "", IF($H$56=Lists!$D$8, IFERROR(MROUND(CONVERT(F65-E65,"day","yr")*12, 0.5)&amp;" mo.", ""), IF($H$56=Lists!$D$9, IFERROR(MROUND(CONVERT(G65-E65,"day","yr")*12, 0.5)&amp;" mo.", ""), IFERROR(MROUND(CONVERT(G65-F65,"day","yr")*12, 0.5)&amp;" mo.", ""))))</f>
        <v>1.5 mo.</v>
      </c>
      <c r="I65" s="161" t="s">
        <v>193</v>
      </c>
      <c r="J65" s="54"/>
    </row>
    <row r="66" spans="1:10" x14ac:dyDescent="0.35">
      <c r="A66" s="53"/>
      <c r="B66" s="15" t="s">
        <v>51</v>
      </c>
      <c r="D66" s="16"/>
      <c r="E66" s="165">
        <v>44774</v>
      </c>
      <c r="F66" s="165">
        <v>44774</v>
      </c>
      <c r="G66" s="165"/>
      <c r="H66" s="89" t="str">
        <f>IF(SUM(E66:G66)=0, "", IF($H$56=Lists!$D$8, IFERROR(MROUND(CONVERT(F66-E66,"day","yr")*12, 0.5)&amp;" mo.", ""), IF($H$56=Lists!$D$9, IFERROR(MROUND(CONVERT(G66-E66,"day","yr")*12, 0.5)&amp;" mo.", ""), IFERROR(MROUND(CONVERT(G66-F66,"day","yr")*12, 0.5)&amp;" mo.", ""))))</f>
        <v/>
      </c>
      <c r="I66" s="161" t="s">
        <v>194</v>
      </c>
      <c r="J66" s="54"/>
    </row>
    <row r="67" spans="1:10" x14ac:dyDescent="0.35">
      <c r="A67" s="53"/>
      <c r="B67" s="15" t="s">
        <v>52</v>
      </c>
      <c r="D67" s="16"/>
      <c r="E67" s="165"/>
      <c r="F67" s="165"/>
      <c r="G67" s="165"/>
      <c r="H67" s="89" t="str">
        <f>IF(SUM(E67:G67)=0, "", IF($H$56=Lists!$D$8, IFERROR(MROUND(CONVERT(F67-E67,"day","yr")*12, 0.5)&amp;" mo.", ""), IF($H$56=Lists!$D$9, IFERROR(MROUND(CONVERT(G67-E67,"day","yr")*12, 0.5)&amp;" mo.", ""), IFERROR(MROUND(CONVERT(G67-F67,"day","yr")*12, 0.5)&amp;" mo.", ""))))</f>
        <v/>
      </c>
      <c r="I67" s="161" t="s">
        <v>195</v>
      </c>
      <c r="J67" s="54"/>
    </row>
    <row r="68" spans="1:10" x14ac:dyDescent="0.35">
      <c r="A68" s="53"/>
      <c r="B68" s="15" t="s">
        <v>53</v>
      </c>
      <c r="D68" s="16"/>
      <c r="E68" s="165">
        <v>45170</v>
      </c>
      <c r="F68" s="165">
        <v>45170</v>
      </c>
      <c r="G68" s="165"/>
      <c r="H68" s="89" t="str">
        <f>IF(SUM(E68:G68)=0, "", IF($H$56=Lists!$D$8, IFERROR(MROUND(CONVERT(F68-E68,"day","yr")*12, 0.5)&amp;" mo.", ""), IF($H$56=Lists!$D$9, IFERROR(MROUND(CONVERT(G68-E68,"day","yr")*12, 0.5)&amp;" mo.", ""), IFERROR(MROUND(CONVERT(G68-F68,"day","yr")*12, 0.5)&amp;" mo.", ""))))</f>
        <v/>
      </c>
      <c r="I68" s="161" t="s">
        <v>196</v>
      </c>
      <c r="J68" s="54"/>
    </row>
    <row r="69" spans="1:10" x14ac:dyDescent="0.35">
      <c r="A69" s="53"/>
      <c r="B69" s="15" t="s">
        <v>54</v>
      </c>
      <c r="D69" s="16"/>
      <c r="E69" s="165">
        <v>45717</v>
      </c>
      <c r="F69" s="165">
        <v>45717</v>
      </c>
      <c r="G69" s="165"/>
      <c r="H69" s="89" t="str">
        <f>IF(SUM(E69:G69)=0, "", IF($H$56=Lists!$D$8, IFERROR(MROUND(CONVERT(F69-E69,"day","yr")*12, 0.5)&amp;" mo.", ""), IF($H$56=Lists!$D$9, IFERROR(MROUND(CONVERT(G69-E69,"day","yr")*12, 0.5)&amp;" mo.", ""), IFERROR(MROUND(CONVERT(G69-F69,"day","yr")*12, 0.5)&amp;" mo.", ""))))</f>
        <v/>
      </c>
      <c r="I69" s="166">
        <v>45839</v>
      </c>
      <c r="J69" s="54"/>
    </row>
    <row r="70" spans="1:10" x14ac:dyDescent="0.35">
      <c r="A70" s="53"/>
      <c r="B70" s="18" t="s">
        <v>55</v>
      </c>
      <c r="C70" s="19"/>
      <c r="D70" s="20"/>
      <c r="E70" s="106"/>
      <c r="F70" s="106"/>
      <c r="G70" s="107"/>
      <c r="H70" s="89" t="str">
        <f>IF(SUM(E70:G70)=0, "", IF($H$56=Lists!$D$8, IFERROR(MROUND(CONVERT(F70-E70,"day","yr")*12, 0.5)&amp;" mo.", ""), IF($H$56=Lists!$D$9, IFERROR(MROUND(CONVERT(G70-E70,"day","yr")*12, 0.5)&amp;" mo.", ""), IFERROR(MROUND(CONVERT(G70-F70,"day","yr")*12, 0.5)&amp;" mo.", ""))))</f>
        <v/>
      </c>
      <c r="I70" s="116"/>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3" t="s">
        <v>56</v>
      </c>
      <c r="B72" s="134"/>
      <c r="C72" s="134"/>
      <c r="D72" s="134"/>
      <c r="E72" s="134"/>
      <c r="F72" s="134"/>
      <c r="G72" s="134"/>
      <c r="H72" s="134"/>
      <c r="I72" s="134"/>
      <c r="J72" s="135"/>
    </row>
    <row r="73" spans="1:10" ht="10" customHeight="1" thickTop="1" x14ac:dyDescent="0.35">
      <c r="A73" s="53"/>
      <c r="B73" s="118"/>
      <c r="C73" s="118"/>
      <c r="D73" s="118"/>
      <c r="E73" s="26"/>
      <c r="F73" s="26"/>
      <c r="G73" s="26"/>
      <c r="H73" s="27"/>
      <c r="I73" s="78"/>
      <c r="J73" s="54"/>
    </row>
    <row r="74" spans="1:10" ht="75" customHeight="1" x14ac:dyDescent="0.35">
      <c r="A74" s="53"/>
      <c r="B74" s="148" t="s">
        <v>38</v>
      </c>
      <c r="C74" s="148"/>
      <c r="D74" s="148"/>
      <c r="E74" s="69" t="s">
        <v>57</v>
      </c>
      <c r="F74" s="69" t="s">
        <v>58</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40" t="s">
        <v>59</v>
      </c>
      <c r="C75" s="141"/>
      <c r="D75" s="141"/>
      <c r="E75" s="141"/>
      <c r="F75" s="141"/>
      <c r="G75" s="141"/>
      <c r="H75" s="141"/>
      <c r="I75" s="142"/>
      <c r="J75" s="54"/>
    </row>
    <row r="76" spans="1:10" x14ac:dyDescent="0.35">
      <c r="A76" s="53"/>
      <c r="B76" s="157"/>
      <c r="C76" s="154"/>
      <c r="D76" s="124" t="s">
        <v>60</v>
      </c>
      <c r="E76" s="108"/>
      <c r="F76" s="108"/>
      <c r="G76" s="108"/>
      <c r="H76" s="93">
        <f>IF($H$56=Lists!$D$8, IFERROR(F76-E76, ""), IF($H$56=Lists!$D$9, IFERROR(G76-E76, ""), IFERROR(G76-F76, "")))</f>
        <v>0</v>
      </c>
      <c r="I76" s="116"/>
      <c r="J76" s="54"/>
    </row>
    <row r="77" spans="1:10" ht="10" customHeight="1" x14ac:dyDescent="0.35">
      <c r="A77" s="53"/>
      <c r="B77" s="113"/>
      <c r="C77" s="113"/>
      <c r="D77" s="113"/>
      <c r="E77" s="28"/>
      <c r="F77" s="28"/>
      <c r="G77" s="28"/>
      <c r="H77" s="29"/>
      <c r="I77" s="79"/>
      <c r="J77" s="54"/>
    </row>
    <row r="78" spans="1:10" x14ac:dyDescent="0.35">
      <c r="A78" s="53"/>
      <c r="B78" s="140" t="s">
        <v>61</v>
      </c>
      <c r="C78" s="141"/>
      <c r="D78" s="141"/>
      <c r="E78" s="141"/>
      <c r="F78" s="141"/>
      <c r="G78" s="141"/>
      <c r="H78" s="141"/>
      <c r="I78" s="142"/>
      <c r="J78" s="54"/>
    </row>
    <row r="79" spans="1:10" x14ac:dyDescent="0.35">
      <c r="A79" s="53"/>
      <c r="B79" s="12" t="s">
        <v>62</v>
      </c>
      <c r="C79" s="13"/>
      <c r="D79" s="14"/>
      <c r="E79" s="167">
        <v>250975</v>
      </c>
      <c r="F79" s="167">
        <v>250975</v>
      </c>
      <c r="G79" s="168">
        <v>247771.03</v>
      </c>
      <c r="H79" s="30">
        <f>IF($H$56=Lists!$D$8, IFERROR(F79-E79, ""), IF($H$56=Lists!$D$9, IFERROR(G79-E79, ""), IFERROR(G79-F79, "")))</f>
        <v>-3203.9700000000012</v>
      </c>
      <c r="I79" s="116"/>
      <c r="J79" s="54"/>
    </row>
    <row r="80" spans="1:10" x14ac:dyDescent="0.35">
      <c r="A80" s="53"/>
      <c r="B80" s="15" t="s">
        <v>63</v>
      </c>
      <c r="D80" s="16"/>
      <c r="E80" s="167">
        <v>1257932</v>
      </c>
      <c r="F80" s="167">
        <v>1257932</v>
      </c>
      <c r="G80" s="168">
        <v>1440898</v>
      </c>
      <c r="H80" s="30">
        <f>IF($H$56=Lists!$D$8, IFERROR(F80-E80, ""), IF($H$56=Lists!$D$9, IFERROR(G80-E80, ""), IFERROR(G80-F80, "")))</f>
        <v>182966</v>
      </c>
      <c r="I80" s="116"/>
      <c r="J80" s="54"/>
    </row>
    <row r="81" spans="1:10" x14ac:dyDescent="0.35">
      <c r="A81" s="53"/>
      <c r="B81" s="15" t="s">
        <v>64</v>
      </c>
      <c r="D81" s="16"/>
      <c r="E81" s="167">
        <v>1055392</v>
      </c>
      <c r="F81" s="167">
        <v>1055392</v>
      </c>
      <c r="G81" s="168">
        <v>995738</v>
      </c>
      <c r="H81" s="30">
        <f>IF($H$56=Lists!$D$8, IFERROR(F81-E81, ""), IF($H$56=Lists!$D$9, IFERROR(G81-E81, ""), IFERROR(G81-F81, "")))</f>
        <v>-59654</v>
      </c>
      <c r="I81" s="116"/>
      <c r="J81" s="54"/>
    </row>
    <row r="82" spans="1:10" x14ac:dyDescent="0.35">
      <c r="A82" s="53"/>
      <c r="B82" s="15" t="s">
        <v>65</v>
      </c>
      <c r="D82" s="16"/>
      <c r="E82" s="167">
        <f>531540*1.0482</f>
        <v>557160.228</v>
      </c>
      <c r="F82" s="169">
        <f>531540*1.0482</f>
        <v>557160.228</v>
      </c>
      <c r="G82" s="167"/>
      <c r="H82" s="30">
        <f>IF($H$56=Lists!$D$8, IFERROR(F82-E82, ""), IF($H$56=Lists!$D$9, IFERROR(G82-E82, ""), IFERROR(G82-F82, "")))</f>
        <v>-557160.228</v>
      </c>
      <c r="I82" s="116"/>
      <c r="J82" s="54"/>
    </row>
    <row r="83" spans="1:10" x14ac:dyDescent="0.35">
      <c r="A83" s="53"/>
      <c r="B83" s="15" t="s">
        <v>66</v>
      </c>
      <c r="D83" s="16"/>
      <c r="E83" s="167">
        <f>973689-557160</f>
        <v>416529</v>
      </c>
      <c r="F83" s="167">
        <f>973689-557160</f>
        <v>416529</v>
      </c>
      <c r="G83" s="167"/>
      <c r="H83" s="31">
        <f>IF($H$56=Lists!$D$8, IFERROR(F83-E83, ""), IF($H$56=Lists!$D$9, IFERROR(G83-E83, ""), IFERROR(G83-F83, "")))</f>
        <v>-416529</v>
      </c>
      <c r="I83" s="161" t="s">
        <v>197</v>
      </c>
      <c r="J83" s="54"/>
    </row>
    <row r="84" spans="1:10" x14ac:dyDescent="0.35">
      <c r="A84" s="53"/>
      <c r="B84" s="15" t="s">
        <v>67</v>
      </c>
      <c r="D84" s="16"/>
      <c r="E84" s="167">
        <v>181260</v>
      </c>
      <c r="F84" s="167">
        <v>181260</v>
      </c>
      <c r="G84" s="168"/>
      <c r="H84" s="30">
        <f>IF($H$56=Lists!$D$8, IFERROR(F84-E84, ""), IF($H$56=Lists!$D$9, IFERROR(G84-E84, ""), IFERROR(G84-F84, "")))</f>
        <v>-181260</v>
      </c>
      <c r="I84" s="111"/>
      <c r="J84" s="54"/>
    </row>
    <row r="85" spans="1:10" x14ac:dyDescent="0.35">
      <c r="A85" s="53"/>
      <c r="B85" s="18"/>
      <c r="C85" s="156"/>
      <c r="D85" s="125" t="s">
        <v>68</v>
      </c>
      <c r="E85" s="32">
        <f>SUM(E79:E84)</f>
        <v>3719248.2280000001</v>
      </c>
      <c r="F85" s="32">
        <f>SUM(F79:F84)</f>
        <v>3719248.2280000001</v>
      </c>
      <c r="G85" s="32">
        <f>SUM(G79:G84)</f>
        <v>2684407.0300000003</v>
      </c>
      <c r="H85" s="33">
        <f>IF($H$56=Lists!$D$8, IFERROR(F85-E85, ""), IF($H$56=Lists!$D$9, IFERROR(G85-E85, ""), IFERROR(G85-F85, "")))</f>
        <v>-1034841.1979999999</v>
      </c>
      <c r="I85" s="80"/>
      <c r="J85" s="54"/>
    </row>
    <row r="86" spans="1:10" ht="10" customHeight="1" x14ac:dyDescent="0.35">
      <c r="A86" s="53"/>
      <c r="J86" s="54"/>
    </row>
    <row r="87" spans="1:10" x14ac:dyDescent="0.35">
      <c r="A87" s="53"/>
      <c r="B87" s="140" t="s">
        <v>69</v>
      </c>
      <c r="C87" s="141"/>
      <c r="D87" s="141"/>
      <c r="E87" s="141"/>
      <c r="F87" s="141"/>
      <c r="G87" s="141"/>
      <c r="H87" s="141"/>
      <c r="I87" s="142"/>
      <c r="J87" s="54"/>
    </row>
    <row r="88" spans="1:10" ht="14.5" customHeight="1" x14ac:dyDescent="0.35">
      <c r="A88" s="53"/>
      <c r="B88" s="12" t="s">
        <v>70</v>
      </c>
      <c r="C88" s="13"/>
      <c r="D88" s="14"/>
      <c r="E88" s="167">
        <v>1302527</v>
      </c>
      <c r="F88" s="167">
        <v>1302527</v>
      </c>
      <c r="G88" s="110"/>
      <c r="H88" s="34">
        <f>IF($H$56=Lists!$D$8, IFERROR(F88-E88, ""), IF($H$56=Lists!$D$9, IFERROR(G88-E88, ""), IFERROR(G88-F88, "")))</f>
        <v>-1302527</v>
      </c>
      <c r="I88" s="116"/>
      <c r="J88" s="54"/>
    </row>
    <row r="89" spans="1:10" x14ac:dyDescent="0.35">
      <c r="A89" s="53"/>
      <c r="B89" s="15" t="s">
        <v>71</v>
      </c>
      <c r="D89" s="16"/>
      <c r="E89" s="167"/>
      <c r="F89" s="167"/>
      <c r="G89" s="110"/>
      <c r="H89" s="34">
        <f>IF($H$56=Lists!$D$8, IFERROR(F89-E89, ""), IF($H$56=Lists!$D$9, IFERROR(G89-E89, ""), IFERROR(G89-F89, "")))</f>
        <v>0</v>
      </c>
      <c r="I89" s="111"/>
      <c r="J89" s="54"/>
    </row>
    <row r="90" spans="1:10" x14ac:dyDescent="0.35">
      <c r="A90" s="53"/>
      <c r="B90" s="15" t="s">
        <v>72</v>
      </c>
      <c r="D90" s="16"/>
      <c r="E90" s="167">
        <v>23022898</v>
      </c>
      <c r="F90" s="167">
        <v>23022898</v>
      </c>
      <c r="G90" s="109"/>
      <c r="H90" s="35">
        <f>IF($H$56=Lists!$D$8, IFERROR(F90-E90, ""), IF($H$56=Lists!$D$9, IFERROR(G90-E90, ""), IFERROR(G90-F90, "")))</f>
        <v>-23022898</v>
      </c>
      <c r="I90" s="111"/>
      <c r="J90" s="54"/>
    </row>
    <row r="91" spans="1:10" x14ac:dyDescent="0.35">
      <c r="A91" s="53"/>
      <c r="B91" s="38"/>
      <c r="C91" s="1"/>
      <c r="D91" s="158" t="s">
        <v>73</v>
      </c>
      <c r="E91" s="159">
        <f>SUM(E88:E90)</f>
        <v>24325425</v>
      </c>
      <c r="F91" s="36">
        <f t="shared" ref="F91:G91" si="5">SUM(F88:F90)</f>
        <v>24325425</v>
      </c>
      <c r="G91" s="36">
        <f t="shared" si="5"/>
        <v>0</v>
      </c>
      <c r="H91" s="34">
        <f>IF($H$56=Lists!$D$8, IFERROR(F91-E91, ""), IF($H$56=Lists!$D$9, IFERROR(G91-E91, ""), IFERROR(G91-F91, "")))</f>
        <v>-24325425</v>
      </c>
      <c r="I91" s="80"/>
      <c r="J91" s="54"/>
    </row>
    <row r="92" spans="1:10" x14ac:dyDescent="0.35">
      <c r="A92" s="53"/>
      <c r="B92" s="15" t="s">
        <v>74</v>
      </c>
      <c r="D92" s="16"/>
      <c r="E92" s="167">
        <v>1217429</v>
      </c>
      <c r="F92" s="167">
        <v>1217429</v>
      </c>
      <c r="G92" s="168"/>
      <c r="H92" s="34">
        <f>IF($H$56=Lists!$D$8, IFERROR(F92-E92, ""), IF($H$56=Lists!$D$9, IFERROR(G92-E92, ""), IFERROR(G92-F92, "")))</f>
        <v>-1217429</v>
      </c>
      <c r="I92" s="111"/>
      <c r="J92" s="54"/>
    </row>
    <row r="93" spans="1:10" x14ac:dyDescent="0.35">
      <c r="A93" s="53"/>
      <c r="B93" s="15" t="s">
        <v>75</v>
      </c>
      <c r="D93" s="16"/>
      <c r="E93" s="167"/>
      <c r="F93" s="167"/>
      <c r="G93" s="167"/>
      <c r="H93" s="34">
        <f>IF($H$56=Lists!$D$8, IFERROR(F93-E93, ""), IF($H$56=Lists!$D$9, IFERROR(G93-E93, ""), IFERROR(G93-F93, "")))</f>
        <v>0</v>
      </c>
      <c r="I93" s="111"/>
      <c r="J93" s="54"/>
    </row>
    <row r="94" spans="1:10" x14ac:dyDescent="0.35">
      <c r="A94" s="53"/>
      <c r="B94" s="15" t="s">
        <v>76</v>
      </c>
      <c r="D94" s="16"/>
      <c r="E94" s="167">
        <v>2829533</v>
      </c>
      <c r="F94" s="167">
        <v>2829533</v>
      </c>
      <c r="G94" s="167"/>
      <c r="H94" s="34">
        <f>IF($H$56=Lists!$D$8, IFERROR(F94-E94, ""), IF($H$56=Lists!$D$9, IFERROR(G94-E94, ""), IFERROR(G94-F94, "")))</f>
        <v>-2829533</v>
      </c>
      <c r="I94" s="111"/>
      <c r="J94" s="54"/>
    </row>
    <row r="95" spans="1:10" x14ac:dyDescent="0.35">
      <c r="A95" s="53"/>
      <c r="B95" s="15" t="str">
        <f>IF(C53=Lists!J3, "GCCM Costs", IF(C53=Lists!J4, "Design-Build Costs", ""))</f>
        <v>GCCM Costs</v>
      </c>
      <c r="D95" s="16"/>
      <c r="E95" s="167">
        <v>1826451</v>
      </c>
      <c r="F95" s="167">
        <v>1826451</v>
      </c>
      <c r="G95" s="167">
        <v>235000</v>
      </c>
      <c r="H95" s="34">
        <f>IF($H$56=Lists!$D$8, IFERROR(F95-E95, ""), IF($H$56=Lists!$D$9, IFERROR(G95-E95, ""), IFERROR(G95-F95, "")))</f>
        <v>-1591451</v>
      </c>
      <c r="I95" s="111"/>
      <c r="J95" s="54"/>
    </row>
    <row r="96" spans="1:10" x14ac:dyDescent="0.35">
      <c r="A96" s="53"/>
      <c r="B96" s="15" t="str">
        <f>IF(C53=Lists!J3, "GCCM Risk Contingency", "")</f>
        <v>GCCM Risk Contingency</v>
      </c>
      <c r="D96" s="16"/>
      <c r="E96" s="167">
        <v>645869</v>
      </c>
      <c r="F96" s="167">
        <v>645869</v>
      </c>
      <c r="G96" s="167"/>
      <c r="H96" s="34">
        <f>IF($H$56=Lists!$D$8, IFERROR(F96-E96, ""), IF($H$56=Lists!$D$9, IFERROR(G96-E96, ""), IFERROR(G96-F96, "")))</f>
        <v>-645869</v>
      </c>
      <c r="I96" s="111"/>
      <c r="J96" s="54"/>
    </row>
    <row r="97" spans="1:10" x14ac:dyDescent="0.35">
      <c r="A97" s="53"/>
      <c r="B97" s="155"/>
      <c r="C97" s="156"/>
      <c r="D97" s="125" t="s">
        <v>77</v>
      </c>
      <c r="E97" s="159">
        <f>SUM(E91:E96)</f>
        <v>30844707</v>
      </c>
      <c r="F97" s="36">
        <f t="shared" ref="F97:G97" si="6">SUM(F91:F96)</f>
        <v>30844707</v>
      </c>
      <c r="G97" s="36">
        <f t="shared" si="6"/>
        <v>235000</v>
      </c>
      <c r="H97" s="37">
        <f>IF($H$56=Lists!$D$8, IFERROR(F97-E97, ""), IF($H$56=Lists!$D$9, IFERROR(G97-E97, ""), IFERROR(G97-F97, "")))</f>
        <v>-30609707</v>
      </c>
      <c r="I97" s="72"/>
      <c r="J97" s="54"/>
    </row>
    <row r="98" spans="1:10" ht="10" customHeight="1" x14ac:dyDescent="0.35">
      <c r="A98" s="53"/>
      <c r="J98" s="54"/>
    </row>
    <row r="99" spans="1:10" x14ac:dyDescent="0.35">
      <c r="A99" s="53"/>
      <c r="B99" s="140" t="s">
        <v>78</v>
      </c>
      <c r="C99" s="141"/>
      <c r="D99" s="141"/>
      <c r="E99" s="141"/>
      <c r="F99" s="141"/>
      <c r="G99" s="141"/>
      <c r="H99" s="141"/>
      <c r="I99" s="142"/>
      <c r="J99" s="54"/>
    </row>
    <row r="100" spans="1:10" x14ac:dyDescent="0.35">
      <c r="A100" s="53"/>
      <c r="B100" s="38" t="s">
        <v>79</v>
      </c>
      <c r="D100" s="16"/>
      <c r="E100" s="170">
        <v>1165484</v>
      </c>
      <c r="F100" s="170">
        <v>1165484</v>
      </c>
      <c r="G100" s="171"/>
      <c r="H100" s="39">
        <f>IF($H$56=Lists!$D$8, IFERROR(F100-E100, ""), IF($H$56=Lists!$D$9, IFERROR(G100-E100, ""), IFERROR(G100-F100, "")))</f>
        <v>-1165484</v>
      </c>
      <c r="I100" s="112"/>
      <c r="J100" s="81"/>
    </row>
    <row r="101" spans="1:10" x14ac:dyDescent="0.35">
      <c r="A101" s="53"/>
      <c r="B101" s="38" t="s">
        <v>80</v>
      </c>
      <c r="D101" s="16"/>
      <c r="E101" s="170">
        <v>183341</v>
      </c>
      <c r="F101" s="170">
        <v>183341</v>
      </c>
      <c r="G101" s="171"/>
      <c r="H101" s="39">
        <f>IF($H$56=Lists!$D$8, IFERROR(F101-E101, ""), IF($H$56=Lists!$D$9, IFERROR(G101-E101, ""), IFERROR(G101-F101, "")))</f>
        <v>-183341</v>
      </c>
      <c r="I101" s="112"/>
      <c r="J101" s="81"/>
    </row>
    <row r="102" spans="1:10" x14ac:dyDescent="0.35">
      <c r="A102" s="53"/>
      <c r="B102" s="38" t="s">
        <v>81</v>
      </c>
      <c r="D102" s="16"/>
      <c r="E102" s="167">
        <v>297689</v>
      </c>
      <c r="F102" s="167">
        <v>297689</v>
      </c>
      <c r="G102" s="168">
        <f>45521.5+1584.1</f>
        <v>47105.599999999999</v>
      </c>
      <c r="H102" s="40">
        <f>IF($H$56=Lists!$D$8, IFERROR(F102-E102, ""), IF($H$56=Lists!$D$9, IFERROR(G102-E102, ""), IFERROR(G102-F102, "")))</f>
        <v>-250583.4</v>
      </c>
      <c r="I102" s="116"/>
      <c r="J102" s="54"/>
    </row>
    <row r="103" spans="1:10" x14ac:dyDescent="0.35">
      <c r="A103" s="53"/>
      <c r="B103" s="38" t="s">
        <v>82</v>
      </c>
      <c r="D103" s="16"/>
      <c r="E103" s="167">
        <v>641171</v>
      </c>
      <c r="F103" s="167">
        <v>641171</v>
      </c>
      <c r="G103" s="172"/>
      <c r="H103" s="41">
        <f>IF($H$56=Lists!$D$8, IFERROR(F103-E103, ""), IF($H$56=Lists!$D$9, IFERROR(G103-E103, ""), IFERROR(G103-F103, "")))</f>
        <v>-641171</v>
      </c>
      <c r="I103" s="173" t="s">
        <v>198</v>
      </c>
      <c r="J103" s="81"/>
    </row>
    <row r="104" spans="1:10" ht="15" thickBot="1" x14ac:dyDescent="0.4">
      <c r="A104" s="53"/>
      <c r="B104" s="160"/>
      <c r="C104" s="60"/>
      <c r="D104" s="126" t="s">
        <v>83</v>
      </c>
      <c r="E104" s="42">
        <f>SUM(E100:E103)</f>
        <v>2287685</v>
      </c>
      <c r="F104" s="42">
        <f>SUM(F100:F103)</f>
        <v>2287685</v>
      </c>
      <c r="G104" s="42">
        <f>SUM(G100:G103)</f>
        <v>47105.599999999999</v>
      </c>
      <c r="H104" s="37">
        <f>IF($H$56=Lists!$D$8, IFERROR(F104-E104, ""), IF($H$56=Lists!$D$9, IFERROR(G104-E104, ""), IFERROR(G104-F104, "")))</f>
        <v>-2240579.4</v>
      </c>
      <c r="I104" s="82"/>
      <c r="J104" s="81"/>
    </row>
    <row r="105" spans="1:10" ht="19.5" thickTop="1" thickBot="1" x14ac:dyDescent="0.5">
      <c r="A105" s="53"/>
      <c r="B105" s="83" t="s">
        <v>84</v>
      </c>
      <c r="C105" s="84"/>
      <c r="D105" s="84"/>
      <c r="E105" s="85">
        <f>SUM(E76,E85,E97,E104)</f>
        <v>36851640.228</v>
      </c>
      <c r="F105" s="85">
        <f>SUM(F76,F85,F97,F104)</f>
        <v>36851640.228</v>
      </c>
      <c r="G105" s="85">
        <f>SUM(G76,G85,G97,G104)</f>
        <v>2966512.6300000004</v>
      </c>
      <c r="H105" s="85">
        <f>SUM(H76,H85,H97,H104)</f>
        <v>-33885127.597999997</v>
      </c>
      <c r="I105" s="86"/>
      <c r="J105" s="81"/>
    </row>
    <row r="106" spans="1:10" ht="10" customHeight="1" thickTop="1" x14ac:dyDescent="0.35">
      <c r="A106" s="53"/>
      <c r="B106" s="117"/>
      <c r="C106" s="117"/>
      <c r="D106" s="117"/>
      <c r="E106" s="43"/>
      <c r="F106" s="43"/>
      <c r="G106" s="43"/>
      <c r="H106" s="43"/>
      <c r="I106" s="114"/>
      <c r="J106" s="81"/>
    </row>
    <row r="107" spans="1:10" s="1" customFormat="1" x14ac:dyDescent="0.35">
      <c r="A107" s="56"/>
      <c r="B107" s="198" t="str">
        <f>IF(ReportType=Lists!$O$2, "", "Close-Out Information")</f>
        <v/>
      </c>
      <c r="C107" s="199"/>
      <c r="D107" s="199"/>
      <c r="E107" s="199"/>
      <c r="F107" s="199"/>
      <c r="G107" s="199"/>
      <c r="H107" s="199"/>
      <c r="I107" s="200"/>
      <c r="J107" s="57"/>
    </row>
    <row r="108" spans="1:10" s="1" customFormat="1" x14ac:dyDescent="0.35">
      <c r="A108" s="56"/>
      <c r="B108" s="44"/>
      <c r="C108" s="208"/>
      <c r="D108" s="208"/>
      <c r="E108" s="208" t="str">
        <f>IF(ReportType=Lists!$O$2, "", "NOTES")</f>
        <v/>
      </c>
      <c r="F108" s="208"/>
      <c r="G108" s="208"/>
      <c r="H108" s="208"/>
      <c r="I108" s="209"/>
      <c r="J108" s="57"/>
    </row>
    <row r="109" spans="1:10" ht="15" customHeight="1" x14ac:dyDescent="0.35">
      <c r="A109" s="53"/>
      <c r="B109" s="71" t="str">
        <f>IF(ReportType=Lists!$O$2, "", "Number of Change Orders")</f>
        <v/>
      </c>
      <c r="C109" s="201"/>
      <c r="D109" s="202"/>
      <c r="E109" s="205"/>
      <c r="F109" s="206"/>
      <c r="G109" s="206"/>
      <c r="H109" s="206"/>
      <c r="I109" s="207"/>
      <c r="J109" s="54"/>
    </row>
    <row r="110" spans="1:10" ht="15" customHeight="1" x14ac:dyDescent="0.35">
      <c r="A110" s="53"/>
      <c r="B110" s="71" t="str">
        <f>IF(ReportType=Lists!$O$2, "", "Total Value of Change Orders")</f>
        <v/>
      </c>
      <c r="C110" s="210"/>
      <c r="D110" s="211"/>
      <c r="E110" s="119"/>
      <c r="F110" s="120"/>
      <c r="G110" s="120"/>
      <c r="H110" s="120"/>
      <c r="I110" s="121"/>
      <c r="J110" s="54"/>
    </row>
    <row r="111" spans="1:10" ht="15" customHeight="1" x14ac:dyDescent="0.35">
      <c r="A111" s="53"/>
      <c r="B111" s="71" t="str">
        <f>IF(ReportType=Lists!$O$2, "", "Outstanding Liabilities")</f>
        <v/>
      </c>
      <c r="C111" s="210"/>
      <c r="D111" s="211"/>
      <c r="E111" s="119"/>
      <c r="F111" s="120"/>
      <c r="G111" s="120"/>
      <c r="H111" s="120"/>
      <c r="I111" s="121"/>
      <c r="J111" s="54"/>
    </row>
    <row r="112" spans="1:10" x14ac:dyDescent="0.35">
      <c r="A112" s="53"/>
      <c r="B112" s="18" t="str">
        <f>IF(ReportType=Lists!$O$2, "", "Unsettled Claims")</f>
        <v/>
      </c>
      <c r="C112" s="203"/>
      <c r="D112" s="204"/>
      <c r="E112" s="205"/>
      <c r="F112" s="206"/>
      <c r="G112" s="206"/>
      <c r="H112" s="206"/>
      <c r="I112" s="207"/>
      <c r="J112" s="54"/>
    </row>
    <row r="113" spans="1:10" ht="10" customHeight="1" x14ac:dyDescent="0.35">
      <c r="A113" s="53"/>
      <c r="J113" s="54"/>
    </row>
    <row r="114" spans="1:10" ht="15" thickBot="1" x14ac:dyDescent="0.4">
      <c r="A114" s="53"/>
      <c r="B114" s="1" t="s">
        <v>85</v>
      </c>
      <c r="J114" s="54"/>
    </row>
    <row r="115" spans="1:10" x14ac:dyDescent="0.35">
      <c r="A115" s="53"/>
      <c r="B115" s="221" t="s">
        <v>207</v>
      </c>
      <c r="C115" s="191"/>
      <c r="D115" s="191"/>
      <c r="E115" s="191"/>
      <c r="F115" s="191"/>
      <c r="G115" s="191"/>
      <c r="H115" s="191"/>
      <c r="I115" s="192"/>
      <c r="J115" s="54"/>
    </row>
    <row r="116" spans="1:10" x14ac:dyDescent="0.35">
      <c r="A116" s="53"/>
      <c r="B116" s="220" t="s">
        <v>204</v>
      </c>
      <c r="C116" s="186"/>
      <c r="D116" s="186"/>
      <c r="E116" s="186"/>
      <c r="F116" s="186"/>
      <c r="G116" s="186"/>
      <c r="H116" s="186"/>
      <c r="I116" s="187"/>
      <c r="J116" s="54"/>
    </row>
    <row r="117" spans="1:10" x14ac:dyDescent="0.35">
      <c r="A117" s="53"/>
      <c r="B117" s="220" t="s">
        <v>205</v>
      </c>
      <c r="C117" s="186"/>
      <c r="D117" s="186"/>
      <c r="E117" s="186"/>
      <c r="F117" s="186"/>
      <c r="G117" s="186"/>
      <c r="H117" s="186"/>
      <c r="I117" s="187"/>
      <c r="J117" s="54"/>
    </row>
    <row r="118" spans="1:10" x14ac:dyDescent="0.35">
      <c r="A118" s="53"/>
      <c r="B118" s="220" t="s">
        <v>206</v>
      </c>
      <c r="C118" s="186"/>
      <c r="D118" s="186"/>
      <c r="E118" s="186"/>
      <c r="F118" s="186"/>
      <c r="G118" s="186"/>
      <c r="H118" s="186"/>
      <c r="I118" s="187"/>
      <c r="J118" s="54"/>
    </row>
    <row r="119" spans="1:10" x14ac:dyDescent="0.35">
      <c r="A119" s="53"/>
      <c r="B119" s="224" t="s">
        <v>208</v>
      </c>
      <c r="C119" s="222"/>
      <c r="D119" s="222"/>
      <c r="E119" s="222"/>
      <c r="F119" s="222"/>
      <c r="G119" s="222"/>
      <c r="H119" s="222"/>
      <c r="I119" s="223"/>
      <c r="J119" s="54"/>
    </row>
    <row r="120" spans="1:10" x14ac:dyDescent="0.35">
      <c r="A120" s="53"/>
      <c r="B120" s="224" t="s">
        <v>209</v>
      </c>
      <c r="C120" s="186"/>
      <c r="D120" s="186"/>
      <c r="E120" s="186"/>
      <c r="F120" s="186"/>
      <c r="G120" s="186"/>
      <c r="H120" s="186"/>
      <c r="I120" s="187"/>
      <c r="J120" s="54"/>
    </row>
    <row r="121" spans="1:10" x14ac:dyDescent="0.35">
      <c r="A121" s="53"/>
      <c r="B121" s="220" t="s">
        <v>210</v>
      </c>
      <c r="C121" s="186"/>
      <c r="D121" s="186"/>
      <c r="E121" s="186"/>
      <c r="F121" s="186"/>
      <c r="G121" s="186"/>
      <c r="H121" s="186"/>
      <c r="I121" s="187"/>
      <c r="J121" s="54"/>
    </row>
    <row r="122" spans="1:10" x14ac:dyDescent="0.35">
      <c r="A122" s="53"/>
      <c r="B122" s="220" t="s">
        <v>211</v>
      </c>
      <c r="C122" s="186"/>
      <c r="D122" s="186"/>
      <c r="E122" s="186"/>
      <c r="F122" s="186"/>
      <c r="G122" s="186"/>
      <c r="H122" s="186"/>
      <c r="I122" s="187"/>
      <c r="J122" s="54"/>
    </row>
    <row r="123" spans="1:10" x14ac:dyDescent="0.35">
      <c r="A123" s="53"/>
      <c r="B123" s="220" t="s">
        <v>212</v>
      </c>
      <c r="C123" s="186"/>
      <c r="D123" s="186"/>
      <c r="E123" s="186"/>
      <c r="F123" s="186"/>
      <c r="G123" s="186"/>
      <c r="H123" s="186"/>
      <c r="I123" s="187"/>
      <c r="J123" s="54"/>
    </row>
    <row r="124" spans="1:10" x14ac:dyDescent="0.35">
      <c r="A124" s="53"/>
      <c r="B124" s="220" t="s">
        <v>213</v>
      </c>
      <c r="C124" s="186"/>
      <c r="D124" s="186"/>
      <c r="E124" s="186"/>
      <c r="F124" s="186"/>
      <c r="G124" s="186"/>
      <c r="H124" s="186"/>
      <c r="I124" s="187"/>
      <c r="J124" s="54"/>
    </row>
    <row r="125" spans="1:10" ht="22.5" customHeight="1" x14ac:dyDescent="0.35">
      <c r="A125" s="53"/>
      <c r="B125" s="185"/>
      <c r="C125" s="186"/>
      <c r="D125" s="186"/>
      <c r="E125" s="186"/>
      <c r="F125" s="186"/>
      <c r="G125" s="186"/>
      <c r="H125" s="186"/>
      <c r="I125" s="187"/>
      <c r="J125" s="54"/>
    </row>
    <row r="126" spans="1:10" ht="4.5" customHeight="1" x14ac:dyDescent="0.35">
      <c r="A126" s="53"/>
      <c r="B126" s="185"/>
      <c r="C126" s="186"/>
      <c r="D126" s="186"/>
      <c r="E126" s="186"/>
      <c r="F126" s="186"/>
      <c r="G126" s="186"/>
      <c r="H126" s="186"/>
      <c r="I126" s="187"/>
      <c r="J126" s="54"/>
    </row>
    <row r="127" spans="1:10" ht="4.5" customHeight="1" x14ac:dyDescent="0.35">
      <c r="A127" s="53"/>
      <c r="B127" s="185"/>
      <c r="C127" s="186"/>
      <c r="D127" s="186"/>
      <c r="E127" s="186"/>
      <c r="F127" s="186"/>
      <c r="G127" s="186"/>
      <c r="H127" s="186"/>
      <c r="I127" s="187"/>
      <c r="J127" s="54"/>
    </row>
    <row r="128" spans="1:10" ht="4.5" customHeight="1" x14ac:dyDescent="0.35">
      <c r="A128" s="53"/>
      <c r="B128" s="185"/>
      <c r="C128" s="186"/>
      <c r="D128" s="186"/>
      <c r="E128" s="186"/>
      <c r="F128" s="186"/>
      <c r="G128" s="186"/>
      <c r="H128" s="186"/>
      <c r="I128" s="187"/>
      <c r="J128" s="54"/>
    </row>
    <row r="129" spans="1:10" ht="4.5" customHeight="1" x14ac:dyDescent="0.35">
      <c r="A129" s="53"/>
      <c r="B129" s="185"/>
      <c r="C129" s="186"/>
      <c r="D129" s="186"/>
      <c r="E129" s="186"/>
      <c r="F129" s="186"/>
      <c r="G129" s="186"/>
      <c r="H129" s="186"/>
      <c r="I129" s="187"/>
      <c r="J129" s="54"/>
    </row>
    <row r="130" spans="1:10" ht="4.5" customHeight="1" x14ac:dyDescent="0.35">
      <c r="A130" s="53"/>
      <c r="B130" s="185"/>
      <c r="C130" s="186"/>
      <c r="D130" s="186"/>
      <c r="E130" s="186"/>
      <c r="F130" s="186"/>
      <c r="G130" s="186"/>
      <c r="H130" s="186"/>
      <c r="I130" s="187"/>
      <c r="J130" s="54"/>
    </row>
    <row r="131" spans="1:10" ht="4.5" customHeight="1" x14ac:dyDescent="0.35">
      <c r="A131" s="53"/>
      <c r="B131" s="185"/>
      <c r="C131" s="186"/>
      <c r="D131" s="186"/>
      <c r="E131" s="186"/>
      <c r="F131" s="186"/>
      <c r="G131" s="186"/>
      <c r="H131" s="186"/>
      <c r="I131" s="187"/>
      <c r="J131" s="54"/>
    </row>
    <row r="132" spans="1:10" ht="4.5" customHeight="1" x14ac:dyDescent="0.35">
      <c r="A132" s="53"/>
      <c r="B132" s="185"/>
      <c r="C132" s="186"/>
      <c r="D132" s="186"/>
      <c r="E132" s="186"/>
      <c r="F132" s="186"/>
      <c r="G132" s="186"/>
      <c r="H132" s="186"/>
      <c r="I132" s="187"/>
      <c r="J132" s="54"/>
    </row>
    <row r="133" spans="1:10" ht="4.5" customHeight="1" x14ac:dyDescent="0.35">
      <c r="A133" s="53"/>
      <c r="B133" s="185"/>
      <c r="C133" s="186"/>
      <c r="D133" s="186"/>
      <c r="E133" s="186"/>
      <c r="F133" s="186"/>
      <c r="G133" s="186"/>
      <c r="H133" s="186"/>
      <c r="I133" s="187"/>
      <c r="J133" s="54"/>
    </row>
    <row r="134" spans="1:10" ht="4.5" customHeight="1" thickBot="1" x14ac:dyDescent="0.4">
      <c r="A134" s="53"/>
      <c r="B134" s="188"/>
      <c r="C134" s="189"/>
      <c r="D134" s="189"/>
      <c r="E134" s="189"/>
      <c r="F134" s="189"/>
      <c r="G134" s="189"/>
      <c r="H134" s="189"/>
      <c r="I134" s="190"/>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112:D112"/>
    <mergeCell ref="E109:I109"/>
    <mergeCell ref="E112:I112"/>
    <mergeCell ref="C108:D108"/>
    <mergeCell ref="E108:I108"/>
    <mergeCell ref="C110:D110"/>
    <mergeCell ref="C111:D111"/>
    <mergeCell ref="C5:H5"/>
    <mergeCell ref="C7:H7"/>
    <mergeCell ref="C6:H6"/>
    <mergeCell ref="B107:I107"/>
    <mergeCell ref="C109:D109"/>
    <mergeCell ref="C10:H10"/>
    <mergeCell ref="C11:H11"/>
    <mergeCell ref="C12:H12"/>
    <mergeCell ref="G51:H51"/>
    <mergeCell ref="G52:H52"/>
    <mergeCell ref="G53:H53"/>
    <mergeCell ref="E51:F51"/>
    <mergeCell ref="C51:D51"/>
    <mergeCell ref="C52:D52"/>
    <mergeCell ref="C53:D53"/>
  </mergeCells>
  <conditionalFormatting sqref="A1:J30 A115:J119 A120:A121 C120:J121 A122:J135">
    <cfRule type="expression" dxfId="9" priority="17">
      <formula>CELL("PROTECT", A1)=0</formula>
    </cfRule>
  </conditionalFormatting>
  <conditionalFormatting sqref="A32:J75">
    <cfRule type="expression" dxfId="8" priority="11">
      <formula>CELL("PROTECT", A32)=0</formula>
    </cfRule>
  </conditionalFormatting>
  <conditionalFormatting sqref="A77:J84">
    <cfRule type="expression" dxfId="7" priority="9">
      <formula>CELL("PROTECT", A77)=0</formula>
    </cfRule>
  </conditionalFormatting>
  <conditionalFormatting sqref="A86:J96">
    <cfRule type="expression" dxfId="6" priority="7">
      <formula>CELL("PROTECT", A86)=0</formula>
    </cfRule>
  </conditionalFormatting>
  <conditionalFormatting sqref="A97:J103">
    <cfRule type="expression" dxfId="5" priority="4">
      <formula>CELL("PROTECT", A97)=0</formula>
    </cfRule>
  </conditionalFormatting>
  <conditionalFormatting sqref="A104:J109 A110:C111 E110:J111 A112:J114 A31:G31 J31 A76 C76:J76 A85 C85:J85">
    <cfRule type="expression" dxfId="4" priority="23">
      <formula>CELL("PROTECT", A31)=0</formula>
    </cfRule>
  </conditionalFormatting>
  <conditionalFormatting sqref="E95:I96">
    <cfRule type="expression" dxfId="2" priority="6">
      <formula>$B95=""</formula>
    </cfRule>
  </conditionalFormatting>
  <conditionalFormatting sqref="B120">
    <cfRule type="expression" dxfId="1" priority="2">
      <formula>CELL("PROTECT", B120)=0</formula>
    </cfRule>
  </conditionalFormatting>
  <conditionalFormatting sqref="B121">
    <cfRule type="expression" dxfId="0" priority="1">
      <formula>CELL("PROTECT", B121)=0</formula>
    </cfRule>
  </conditionalFormatting>
  <dataValidations count="1">
    <dataValidation type="list" allowBlank="1" showInputMessage="1" showErrorMessage="1" sqref="K63" xr:uid="{00000000-0002-0000-0100-000000000000}">
      <formula1>"PMoptions"</formula1>
    </dataValidation>
  </dataValidations>
  <hyperlinks>
    <hyperlink ref="C12" r:id="rId1" xr:uid="{02D8EA7B-DCD1-4A60-80BA-664B3A88BB82}"/>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1"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FEED2-1C11-4B63-9006-2000D9D85B0B}">
  <dimension ref="A1:R1"/>
  <sheetViews>
    <sheetView showGridLines="0" workbookViewId="0"/>
  </sheetViews>
  <sheetFormatPr defaultRowHeight="14.5" x14ac:dyDescent="0.35"/>
  <sheetData>
    <row r="1" spans="1:18" ht="21" x14ac:dyDescent="0.5">
      <c r="A1" s="146" t="s">
        <v>86</v>
      </c>
      <c r="B1" s="147"/>
      <c r="C1" s="147"/>
      <c r="D1" s="147"/>
      <c r="E1" s="147"/>
      <c r="F1" s="147"/>
      <c r="G1" s="147"/>
      <c r="H1" s="147"/>
      <c r="I1" s="147"/>
      <c r="J1" s="147"/>
      <c r="K1" s="147"/>
      <c r="L1" s="147"/>
      <c r="M1" s="147"/>
      <c r="N1" s="147"/>
      <c r="O1" s="147"/>
      <c r="P1" s="147"/>
      <c r="Q1" s="147"/>
      <c r="R1" s="1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EFD46F-5F39-48E8-A71A-07960D88D1F7}">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f7448ec1-8ab6-4f9a-8489-c98098ffcc66"/>
    <ds:schemaRef ds:uri="http://schemas.microsoft.com/office/infopath/2007/PartnerControls"/>
    <ds:schemaRef ds:uri="0a795077-0e4c-4682-a147-8ec713ec5728"/>
    <ds:schemaRef ds:uri="http://purl.org/dc/term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40000222-cascadia-cc5-dec2025</dc:title>
  <dc:subject/>
  <dc:creator>Office of Financial Management;Christine Thomas</dc:creator>
  <cp:keywords/>
  <dc:description/>
  <cp:lastModifiedBy>Susan Locke</cp:lastModifiedBy>
  <cp:revision/>
  <dcterms:created xsi:type="dcterms:W3CDTF">2012-08-29T14:59:47Z</dcterms:created>
  <dcterms:modified xsi:type="dcterms:W3CDTF">2025-12-19T19:32:52Z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