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36B3A3C4-3A89-418B-9003-EED9174D039A}"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Report'!$A$1:$J$137</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3" l="1"/>
  <c r="H47" i="3"/>
  <c r="C33" i="3" l="1"/>
  <c r="H34" i="3"/>
  <c r="M26" i="4"/>
  <c r="M3" i="4"/>
  <c r="M4" i="4"/>
  <c r="M5" i="4"/>
  <c r="M6" i="4"/>
  <c r="M7" i="4"/>
  <c r="M8" i="4"/>
  <c r="M9" i="4"/>
  <c r="M10" i="4"/>
  <c r="M11" i="4"/>
  <c r="M12" i="4"/>
  <c r="M13" i="4"/>
  <c r="M14" i="4"/>
  <c r="M15" i="4"/>
  <c r="M16" i="4"/>
  <c r="M17" i="4"/>
  <c r="M18" i="4"/>
  <c r="M19" i="4"/>
  <c r="M20" i="4"/>
  <c r="M21" i="4"/>
  <c r="M22" i="4"/>
  <c r="M23" i="4"/>
  <c r="M24" i="4"/>
  <c r="M25" i="4"/>
  <c r="H67" i="3" l="1"/>
  <c r="H68" i="3"/>
  <c r="H70" i="3"/>
  <c r="H71" i="3"/>
  <c r="H72" i="3"/>
  <c r="H69" i="3"/>
  <c r="H45" i="3" l="1"/>
  <c r="H40" i="3"/>
  <c r="H35" i="3"/>
  <c r="H36" i="3"/>
  <c r="H37" i="3"/>
  <c r="B114" i="3" l="1"/>
  <c r="B113" i="3"/>
  <c r="B112" i="3"/>
  <c r="B109" i="3"/>
  <c r="B111" i="3"/>
  <c r="E110" i="3"/>
  <c r="H105" i="3"/>
  <c r="H104" i="3"/>
  <c r="H103" i="3"/>
  <c r="H102" i="3"/>
  <c r="H98" i="3"/>
  <c r="H97" i="3"/>
  <c r="H96" i="3"/>
  <c r="H95" i="3"/>
  <c r="H94" i="3"/>
  <c r="H92" i="3"/>
  <c r="H91" i="3"/>
  <c r="H90" i="3"/>
  <c r="H86" i="3"/>
  <c r="H85" i="3"/>
  <c r="H84" i="3"/>
  <c r="H83" i="3"/>
  <c r="H82" i="3"/>
  <c r="H81" i="3"/>
  <c r="H78" i="3"/>
  <c r="H63" i="3"/>
  <c r="H62" i="3"/>
  <c r="H60" i="3"/>
  <c r="H59" i="3"/>
  <c r="H76" i="3" l="1"/>
  <c r="E61" i="3"/>
  <c r="F61" i="3"/>
  <c r="G61" i="3"/>
  <c r="H61" i="3" l="1"/>
  <c r="B98" i="3"/>
  <c r="B97" i="3"/>
  <c r="G76" i="3" l="1"/>
  <c r="G58" i="3"/>
  <c r="F93" i="3" l="1"/>
  <c r="F99" i="3" s="1"/>
  <c r="G93" i="3"/>
  <c r="E93" i="3"/>
  <c r="E99" i="3" s="1"/>
  <c r="H93" i="3" l="1"/>
  <c r="G99" i="3"/>
  <c r="H99" i="3" s="1"/>
  <c r="H49" i="3"/>
  <c r="H46" i="3"/>
  <c r="H44" i="3"/>
  <c r="H42" i="3"/>
  <c r="H41" i="3"/>
  <c r="H39" i="3"/>
  <c r="G43" i="3"/>
  <c r="F43" i="3"/>
  <c r="E43" i="3"/>
  <c r="D43" i="3"/>
  <c r="C43" i="3"/>
  <c r="G38" i="3"/>
  <c r="F38" i="3"/>
  <c r="E38" i="3"/>
  <c r="D38" i="3"/>
  <c r="C38" i="3"/>
  <c r="D33" i="3"/>
  <c r="E33" i="3"/>
  <c r="F33" i="3"/>
  <c r="G33" i="3"/>
  <c r="H43" i="3" l="1"/>
  <c r="H38" i="3"/>
  <c r="H33" i="3"/>
  <c r="D50" i="3"/>
  <c r="C50" i="3"/>
  <c r="G50" i="3"/>
  <c r="F50" i="3"/>
  <c r="E50" i="3"/>
  <c r="F106" i="3"/>
  <c r="G106" i="3"/>
  <c r="H106" i="3" l="1"/>
  <c r="H50" i="3"/>
  <c r="F87" i="3" l="1"/>
  <c r="E106" i="3"/>
  <c r="G87" i="3" l="1"/>
  <c r="H87" i="3" s="1"/>
  <c r="E87" i="3"/>
  <c r="H107" i="3" l="1"/>
  <c r="E64" i="3"/>
  <c r="E107" i="3"/>
  <c r="E65" i="3"/>
  <c r="G64" i="3"/>
  <c r="F64" i="3"/>
  <c r="F65" i="3"/>
  <c r="G107" i="3"/>
  <c r="G65" i="3"/>
  <c r="H64" i="3" l="1"/>
  <c r="H65" i="3"/>
  <c r="F107" i="3"/>
</calcChain>
</file>

<file path=xl/sharedStrings.xml><?xml version="1.0" encoding="utf-8"?>
<sst xmlns="http://schemas.openxmlformats.org/spreadsheetml/2006/main" count="227" uniqueCount="209">
  <si>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</si>
  <si>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</si>
  <si>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</si>
  <si>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</si>
  <si>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</si>
  <si>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</si>
  <si>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</si>
  <si>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</si>
  <si>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</si>
  <si>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</si>
  <si>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</si>
  <si>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</si>
  <si>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</si>
  <si>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</si>
  <si>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</si>
  <si>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</si>
  <si>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</si>
  <si>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</si>
  <si>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</si>
  <si>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</si>
  <si>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</si>
  <si>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</si>
  <si>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</si>
  <si>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</si>
  <si>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</si>
  <si>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</si>
  <si>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</si>
  <si>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</si>
  <si>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</si>
  <si>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</si>
  <si>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</si>
  <si>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</si>
  <si>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</si>
  <si>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</si>
  <si>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</si>
  <si>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</si>
  <si>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</si>
  <si>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</si>
  <si>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</si>
  <si>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</si>
  <si>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</si>
  <si>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</si>
  <si>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</si>
  <si>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</si>
  <si>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</si>
  <si>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</si>
  <si>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</si>
  <si>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</si>
  <si>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</si>
  <si>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</si>
  <si>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</si>
  <si>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</si>
  <si>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</si>
  <si>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</si>
  <si>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</si>
  <si>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</si>
  <si>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</si>
  <si>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</si>
  <si>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</si>
  <si>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</si>
  <si>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</si>
  <si>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</si>
  <si>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</si>
  <si>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</si>
  <si>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</si>
  <si>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</si>
  <si>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</si>
  <si>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</si>
  <si>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</si>
  <si>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</si>
  <si>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</si>
  <si>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</si>
  <si>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</si>
  <si>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</si>
  <si>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</si>
  <si>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</si>
  <si>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</si>
  <si>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</si>
  <si>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</si>
  <si>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</si>
  <si>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</si>
  <si>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</si>
  <si>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</si>
  <si>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</si>
  <si>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</si>
  <si>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</si>
  <si>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</si>
  <si>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</si>
  <si>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</si>
  <si>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</si>
  <si>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</si>
  <si>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</si>
  <si>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</si>
  <si>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</si>
  <si>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</si>
  <si>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</si>
  <si>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</si>
  <si>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</si>
  <si>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</si>
  <si>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</si>
  <si>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</si>
  <si>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</si>
  <si>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</si>
  <si>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</si>
  <si>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</si>
  <si>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</si>
  <si>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</si>
  <si>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</si>
  <si>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</si>
  <si>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</si>
  <si>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</si>
  <si>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</si>
  <si>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</si>
  <si>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</si>
  <si>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</si>
  <si>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</si>
  <si>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</si>
  <si>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</si>
  <si>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</si>
  <si>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</si>
  <si>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</si>
  <si>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</si>
  <si>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</si>
  <si>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</si>
  <si>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</si>
  <si>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</si>
  <si>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</si>
  <si>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</si>
  <si>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</si>
  <si>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</si>
  <si>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</si>
  <si>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</si>
  <si>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</si>
  <si>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</si>
  <si>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</si>
  <si>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</si>
  <si>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</si>
  <si>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</si>
  <si>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</si>
  <si>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</si>
  <si>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</si>
  <si>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</si>
  <si>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</si>
  <si>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</si>
  <si>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</si>
  <si>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</si>
  <si>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</si>
  <si>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</si>
  <si>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</si>
  <si>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</si>
  <si>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</si>
  <si>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</si>
  <si>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</si>
  <si>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</si>
  <si>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</si>
  <si>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</si>
  <si>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</si>
  <si>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</si>
  <si>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</si>
  <si>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</si>
  <si>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</si>
  <si>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</si>
  <si>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</si>
  <si>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</si>
  <si>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</si>
  <si>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</si>
  <si>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</si>
  <si>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</si>
  <si>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</si>
  <si>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</si>
  <si>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</si>
  <si>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</si>
  <si>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</si>
  <si>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</si>
  <si>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</si>
  <si>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</si>
  <si>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</si>
  <si>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</si>
  <si>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</si>
  <si>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</si>
  <si>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</si>
  <si>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</si>
  <si>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</si>
  <si>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</si>
  <si>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</si>
  <si>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</si>
  <si>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Pierce College - Fort Steilacoom Olympic South Asbestos Abatement</t>
  </si>
  <si>
    <t>Kristen Curiale</t>
  </si>
  <si>
    <t>253-964-6729</t>
  </si>
  <si>
    <t>KCuriale@pierce.ctc.edu</t>
  </si>
  <si>
    <t>In March of 2021 asbestos contamination was found in surface dust in the Olympic South building. Asbestos was discovered in the dust of the HVAC and electrical systems throughout levels 1, 2 and 3. Asbestos contamination was found on contents of Levels 1 and 2, however no significant asbestos was discovered on contents on level 3.  The project is declared an emergency. The programs that are now displaced by this project include Early Childhood Education, Visual Art, Music, and Central Washington University's Pierce County satellite.</t>
  </si>
  <si>
    <t>The building was re-occupied at the start of Spring Quarter 2025. The building is open for business and is well received. The progressive design build delivery method was perfect for this project. The entire team notes this project as one of the highlights of our collective careers. The project has equipment that is long-lead and still on order and expected to arrive after July 1, 2025.  Additional abatement may be required to replace a security camera that was removed as part of the first phase of asbestos abatement but was overlooked in the reconstruction phase.</t>
  </si>
  <si>
    <t>C21-Q585/Q559</t>
  </si>
  <si>
    <t>P612</t>
  </si>
  <si>
    <t>A09-Q572</t>
  </si>
  <si>
    <t>C21-Q363</t>
  </si>
  <si>
    <t>057  - State Bldg. Const Acct</t>
  </si>
  <si>
    <t>060 - Hazmat/Emergency Pool</t>
  </si>
  <si>
    <t>147 - Local Funds</t>
  </si>
  <si>
    <t>057- Minor Works Program</t>
  </si>
  <si>
    <t>060-MW 21-23 URF fund</t>
  </si>
  <si>
    <t>Now 01/06/25</t>
  </si>
  <si>
    <t>Ads, Moving &amp; Storage, Honorarium</t>
  </si>
  <si>
    <t>C28-Q618/Q650</t>
  </si>
  <si>
    <t>057  - State Bldgs. Const Acct</t>
  </si>
  <si>
    <t>% of Bldgs. Area that is being remodeled</t>
  </si>
  <si>
    <t>Wa Arts Commission Dec. 2025: artist Dionne Bonner in design phase</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</si>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</sst>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8">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214500</xdr:colOff>
      <xdr:row>4</xdr:row>
      <xdr:rowOff>95250</xdr:rowOff>
    </xdr:from>
    <xdr:to>
      <xdr:col>6</xdr:col>
      <xdr:colOff>486308</xdr:colOff>
      <xdr:row>18</xdr:row>
      <xdr:rowOff>156231</xdr:rowOff>
    </xdr:to>
    <xdr:pic>
      <xdr:nvPicPr>
        <xdr:cNvPr id="14" name="Picture 13" descr="ECE Level 1 Lab School">
          <a:extLst>
            <a:ext uri="{FF2B5EF4-FFF2-40B4-BE49-F238E27FC236}">
              <a16:creationId xmlns:a16="http://schemas.microsoft.com/office/drawing/2014/main" id="{BCC17951-D65F-4619-B1AF-EA2259245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7600" y="933450"/>
          <a:ext cx="3637308" cy="27279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561975</xdr:colOff>
      <xdr:row>19</xdr:row>
      <xdr:rowOff>75578</xdr:rowOff>
    </xdr:from>
    <xdr:to>
      <xdr:col>7</xdr:col>
      <xdr:colOff>190500</xdr:colOff>
      <xdr:row>20</xdr:row>
      <xdr:rowOff>85726</xdr:rowOff>
    </xdr:to>
    <xdr:sp macro="" textlink="" fLocksText="0">
      <xdr:nvSpPr>
        <xdr:cNvPr id="15" name="TextBox 14" descr="Level 3 Reception Area Framed Walls&#10;">
          <a:extLst>
            <a:ext uri="{FF2B5EF4-FFF2-40B4-BE49-F238E27FC236}">
              <a16:creationId xmlns:a16="http://schemas.microsoft.com/office/drawing/2014/main" id="{5B5A1866-2015-4C93-9E73-B4552D7C168A}"/>
            </a:ext>
          </a:extLst>
        </xdr:cNvPr>
        <xdr:cNvSpPr txBox="1"/>
      </xdr:nvSpPr>
      <xdr:spPr>
        <a:xfrm>
          <a:off x="561975" y="3599828"/>
          <a:ext cx="3962400" cy="19112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ECE Level</a:t>
          </a:r>
          <a:r>
            <a:rPr lang="en-US" sz="1100" b="1" baseline="0">
              <a:solidFill>
                <a:schemeClr val="bg1"/>
              </a:solidFill>
            </a:rPr>
            <a:t> 1 Lab School</a:t>
          </a:r>
          <a:endParaRPr lang="en-US" sz="1100" b="1">
            <a:solidFill>
              <a:schemeClr val="bg1"/>
            </a:solidFill>
          </a:endParaRPr>
        </a:p>
      </xdr:txBody>
    </xdr:sp>
    <xdr:clientData fLocksWithSheet="0"/>
  </xdr:twoCellAnchor>
  <xdr:twoCellAnchor>
    <xdr:from>
      <xdr:col>11</xdr:col>
      <xdr:colOff>460021</xdr:colOff>
      <xdr:row>6</xdr:row>
      <xdr:rowOff>60010</xdr:rowOff>
    </xdr:from>
    <xdr:to>
      <xdr:col>15</xdr:col>
      <xdr:colOff>9010</xdr:colOff>
      <xdr:row>16</xdr:row>
      <xdr:rowOff>181946</xdr:rowOff>
    </xdr:to>
    <xdr:pic>
      <xdr:nvPicPr>
        <xdr:cNvPr id="16" name="Picture 15" descr="Level 2 Gallery&#10;">
          <a:extLst>
            <a:ext uri="{FF2B5EF4-FFF2-40B4-BE49-F238E27FC236}">
              <a16:creationId xmlns:a16="http://schemas.microsoft.com/office/drawing/2014/main" id="{B423AD94-AC3A-4A33-B9A4-73BE35B8DF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864121" y="1279210"/>
          <a:ext cx="2241389" cy="202693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247650</xdr:colOff>
      <xdr:row>17</xdr:row>
      <xdr:rowOff>56527</xdr:rowOff>
    </xdr:from>
    <xdr:to>
      <xdr:col>15</xdr:col>
      <xdr:colOff>349250</xdr:colOff>
      <xdr:row>18</xdr:row>
      <xdr:rowOff>111125</xdr:rowOff>
    </xdr:to>
    <xdr:sp macro="" textlink="" fLocksText="0">
      <xdr:nvSpPr>
        <xdr:cNvPr id="17" name="TextBox 16" descr="Elevator pit and demarcation fabric&#10;">
          <a:extLst>
            <a:ext uri="{FF2B5EF4-FFF2-40B4-BE49-F238E27FC236}">
              <a16:creationId xmlns:a16="http://schemas.microsoft.com/office/drawing/2014/main" id="{E7AA2F5B-D404-4C90-90E9-98A865166C86}"/>
            </a:ext>
          </a:extLst>
        </xdr:cNvPr>
        <xdr:cNvSpPr txBox="1"/>
      </xdr:nvSpPr>
      <xdr:spPr>
        <a:xfrm>
          <a:off x="7058025" y="3218827"/>
          <a:ext cx="2578100" cy="23557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2 Gallery</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719</xdr:colOff>
      <xdr:row>25</xdr:row>
      <xdr:rowOff>28575</xdr:rowOff>
    </xdr:from>
    <xdr:to>
      <xdr:col>6</xdr:col>
      <xdr:colOff>26989</xdr:colOff>
      <xdr:row>39</xdr:row>
      <xdr:rowOff>89556</xdr:rowOff>
    </xdr:to>
    <xdr:pic>
      <xdr:nvPicPr>
        <xdr:cNvPr id="18" name="Picture 17" descr="Level  3 CWU Reception Area&#10;">
          <a:extLst>
            <a:ext uri="{FF2B5EF4-FFF2-40B4-BE49-F238E27FC236}">
              <a16:creationId xmlns:a16="http://schemas.microsoft.com/office/drawing/2014/main" id="{DEED86C2-574F-4D95-8DE2-E246C5C893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346919" y="4867275"/>
          <a:ext cx="2718670" cy="27279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542927</xdr:colOff>
      <xdr:row>40</xdr:row>
      <xdr:rowOff>21602</xdr:rowOff>
    </xdr:from>
    <xdr:to>
      <xdr:col>6</xdr:col>
      <xdr:colOff>371476</xdr:colOff>
      <xdr:row>41</xdr:row>
      <xdr:rowOff>126999</xdr:rowOff>
    </xdr:to>
    <xdr:sp macro="" textlink="" fLocksText="0">
      <xdr:nvSpPr>
        <xdr:cNvPr id="19" name="TextBox 18" descr="Level 2 wall framing at art studios&#10;">
          <a:extLst>
            <a:ext uri="{FF2B5EF4-FFF2-40B4-BE49-F238E27FC236}">
              <a16:creationId xmlns:a16="http://schemas.microsoft.com/office/drawing/2014/main" id="{44F73531-1B85-41DA-B34C-274FA8057E38}"/>
            </a:ext>
          </a:extLst>
        </xdr:cNvPr>
        <xdr:cNvSpPr txBox="1"/>
      </xdr:nvSpPr>
      <xdr:spPr>
        <a:xfrm>
          <a:off x="1162052" y="7346327"/>
          <a:ext cx="2924174" cy="2863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Level  3 CWU Reception Area</a:t>
          </a:r>
          <a:endParaRPr lang="en-US" sz="1100" b="1">
            <a:solidFill>
              <a:schemeClr val="bg1"/>
            </a:solidFill>
          </a:endParaRPr>
        </a:p>
      </xdr:txBody>
    </xdr:sp>
    <xdr:clientData fLocksWithSheet="0"/>
  </xdr:twoCellAnchor>
  <xdr:twoCellAnchor>
    <xdr:from>
      <xdr:col>10</xdr:col>
      <xdr:colOff>455799</xdr:colOff>
      <xdr:row>25</xdr:row>
      <xdr:rowOff>28575</xdr:rowOff>
    </xdr:from>
    <xdr:to>
      <xdr:col>16</xdr:col>
      <xdr:colOff>54508</xdr:colOff>
      <xdr:row>39</xdr:row>
      <xdr:rowOff>89557</xdr:rowOff>
    </xdr:to>
    <xdr:pic>
      <xdr:nvPicPr>
        <xdr:cNvPr id="20" name="Picture 19" descr="ECE Outdoor Sheds&#10;">
          <a:extLst>
            <a:ext uri="{FF2B5EF4-FFF2-40B4-BE49-F238E27FC236}">
              <a16:creationId xmlns:a16="http://schemas.microsoft.com/office/drawing/2014/main" id="{BB5FAC2D-2549-4C14-BB19-45CF01AD2E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186799" y="4867275"/>
          <a:ext cx="3637309" cy="27279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22226</xdr:colOff>
      <xdr:row>40</xdr:row>
      <xdr:rowOff>5726</xdr:rowOff>
    </xdr:from>
    <xdr:to>
      <xdr:col>16</xdr:col>
      <xdr:colOff>403226</xdr:colOff>
      <xdr:row>41</xdr:row>
      <xdr:rowOff>104151</xdr:rowOff>
    </xdr:to>
    <xdr:sp macro="" textlink="" fLocksText="0">
      <xdr:nvSpPr>
        <xdr:cNvPr id="21" name="TextBox 20" descr="Elevator pit and matt footing at new entrance&#10;">
          <a:extLst>
            <a:ext uri="{FF2B5EF4-FFF2-40B4-BE49-F238E27FC236}">
              <a16:creationId xmlns:a16="http://schemas.microsoft.com/office/drawing/2014/main" id="{4A46ED6F-81B2-4513-9362-DA9CFA006BB7}"/>
            </a:ext>
          </a:extLst>
        </xdr:cNvPr>
        <xdr:cNvSpPr txBox="1"/>
      </xdr:nvSpPr>
      <xdr:spPr>
        <a:xfrm>
          <a:off x="6118226" y="7454276"/>
          <a:ext cx="4038600" cy="2825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ECE Outdoor Sheds</a:t>
          </a:r>
        </a:p>
        <a:p>
          <a:pPr algn="ctr"/>
          <a:endParaRPr lang="en-US" sz="1100" b="1">
            <a:solidFill>
              <a:schemeClr val="bg1"/>
            </a:solidFill>
          </a:endParaRPr>
        </a:p>
      </xdr:txBody>
    </xdr:sp>
    <xdr:clientData fLocksWithSheet="0"/>
  </xdr:twoCellAnchor>
  <xdr:twoCellAnchor>
    <xdr:from>
      <xdr:col>2</xdr:col>
      <xdr:colOff>289436</xdr:colOff>
      <xdr:row>45</xdr:row>
      <xdr:rowOff>146050</xdr:rowOff>
    </xdr:from>
    <xdr:to>
      <xdr:col>5</xdr:col>
      <xdr:colOff>411372</xdr:colOff>
      <xdr:row>60</xdr:row>
      <xdr:rowOff>22882</xdr:rowOff>
    </xdr:to>
    <xdr:pic>
      <xdr:nvPicPr>
        <xdr:cNvPr id="22" name="Picture 21" descr="Exterior New Entry Approach&#10;">
          <a:extLst>
            <a:ext uri="{FF2B5EF4-FFF2-40B4-BE49-F238E27FC236}">
              <a16:creationId xmlns:a16="http://schemas.microsoft.com/office/drawing/2014/main" id="{E106A635-548D-4B26-882C-FCBBE9C8886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508636" y="8515350"/>
          <a:ext cx="1950736"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565151</xdr:colOff>
      <xdr:row>60</xdr:row>
      <xdr:rowOff>62876</xdr:rowOff>
    </xdr:from>
    <xdr:to>
      <xdr:col>6</xdr:col>
      <xdr:colOff>127001</xdr:colOff>
      <xdr:row>62</xdr:row>
      <xdr:rowOff>31126</xdr:rowOff>
    </xdr:to>
    <xdr:sp macro="" textlink="" fLocksText="0">
      <xdr:nvSpPr>
        <xdr:cNvPr id="23" name="TextBox 22" descr="Exterior New Entry Approach&#10;">
          <a:extLst>
            <a:ext uri="{FF2B5EF4-FFF2-40B4-BE49-F238E27FC236}">
              <a16:creationId xmlns:a16="http://schemas.microsoft.com/office/drawing/2014/main" id="{DC47C0F5-1D8E-46EE-8991-86A0332FAF30}"/>
            </a:ext>
          </a:extLst>
        </xdr:cNvPr>
        <xdr:cNvSpPr txBox="1"/>
      </xdr:nvSpPr>
      <xdr:spPr>
        <a:xfrm>
          <a:off x="1174751" y="11194426"/>
          <a:ext cx="2609850" cy="3365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Exterior New Entry Approach</a:t>
          </a:r>
        </a:p>
        <a:p>
          <a:pPr algn="ctr"/>
          <a:endParaRPr lang="en-US" sz="1100" b="1">
            <a:solidFill>
              <a:schemeClr val="bg1"/>
            </a:solidFill>
          </a:endParaRPr>
        </a:p>
      </xdr:txBody>
    </xdr:sp>
    <xdr:clientData fLocksWithSheet="0"/>
  </xdr:twoCellAnchor>
  <xdr:twoCellAnchor>
    <xdr:from>
      <xdr:col>11</xdr:col>
      <xdr:colOff>498986</xdr:colOff>
      <xdr:row>45</xdr:row>
      <xdr:rowOff>146050</xdr:rowOff>
    </xdr:from>
    <xdr:to>
      <xdr:col>15</xdr:col>
      <xdr:colOff>11322</xdr:colOff>
      <xdr:row>60</xdr:row>
      <xdr:rowOff>22882</xdr:rowOff>
    </xdr:to>
    <xdr:pic>
      <xdr:nvPicPr>
        <xdr:cNvPr id="24" name="Picture 23" descr="Outdoor Learning Environment from Level 3&#10;">
          <a:extLst>
            <a:ext uri="{FF2B5EF4-FFF2-40B4-BE49-F238E27FC236}">
              <a16:creationId xmlns:a16="http://schemas.microsoft.com/office/drawing/2014/main" id="{86CCC739-1697-4C96-8DDD-AC6C920A58D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rot="5400000">
          <a:off x="6860413" y="8859523"/>
          <a:ext cx="2639082" cy="195073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88900</xdr:colOff>
      <xdr:row>60</xdr:row>
      <xdr:rowOff>81927</xdr:rowOff>
    </xdr:from>
    <xdr:to>
      <xdr:col>15</xdr:col>
      <xdr:colOff>438150</xdr:colOff>
      <xdr:row>62</xdr:row>
      <xdr:rowOff>97801</xdr:rowOff>
    </xdr:to>
    <xdr:sp macro="" textlink="" fLocksText="0">
      <xdr:nvSpPr>
        <xdr:cNvPr id="25" name="TextBox 24" descr="Outdoor Learning Environment from Level 3&#10;">
          <a:extLst>
            <a:ext uri="{FF2B5EF4-FFF2-40B4-BE49-F238E27FC236}">
              <a16:creationId xmlns:a16="http://schemas.microsoft.com/office/drawing/2014/main" id="{89516C63-3C5B-4014-995E-C7F0B23346AB}"/>
            </a:ext>
          </a:extLst>
        </xdr:cNvPr>
        <xdr:cNvSpPr txBox="1"/>
      </xdr:nvSpPr>
      <xdr:spPr>
        <a:xfrm>
          <a:off x="6794500" y="11213477"/>
          <a:ext cx="2787650" cy="3841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Outdoor Learning Environment from Level 3</a:t>
          </a: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Curiale@pierce.ct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7"/>
  <sheetViews>
    <sheetView showGridLines="0" tabSelected="1" zoomScaleNormal="100" workbookViewId="0">
      <selection activeCell="B117" sqref="B117"/>
    </sheetView>
  </sheetViews>
  <sheetFormatPr defaultColWidth="9.1796875" defaultRowHeight="14.5" x14ac:dyDescent="0.35"/>
  <cols>
    <col min="1" max="1" width="1.453125" customWidth="1"/>
    <col min="2" max="2" width="35.453125" customWidth="1"/>
    <col min="3" max="9" width="14.453125" customWidth="1"/>
    <col min="10" max="10" width="1.453125" customWidth="1"/>
  </cols>
  <sheetData>
    <row r="1" spans="1:10" ht="21.5" thickTop="1" x14ac:dyDescent="0.5">
      <c r="A1" s="51"/>
      <c r="B1" s="127" t="s">
        <v>0</v>
      </c>
      <c r="C1" s="127"/>
      <c r="D1" s="127"/>
      <c r="E1" s="127"/>
      <c r="F1" s="127"/>
      <c r="G1" s="127"/>
      <c r="H1" s="127"/>
      <c r="I1" s="127"/>
      <c r="J1" s="52"/>
    </row>
    <row r="2" spans="1:10" x14ac:dyDescent="0.35">
      <c r="A2" s="53"/>
      <c r="B2" s="97"/>
      <c r="C2" s="97"/>
      <c r="D2" s="97"/>
      <c r="E2" s="97" t="s">
        <v>1</v>
      </c>
      <c r="F2" s="97"/>
      <c r="G2" s="97"/>
      <c r="H2" s="97"/>
      <c r="I2" s="97"/>
      <c r="J2" s="54"/>
    </row>
    <row r="3" spans="1:10" ht="21" x14ac:dyDescent="0.5">
      <c r="A3" s="53"/>
      <c r="B3" s="128" t="s">
        <v>100</v>
      </c>
      <c r="C3" s="128"/>
      <c r="D3" s="128"/>
      <c r="E3" s="128"/>
      <c r="F3" s="128"/>
      <c r="G3" s="128"/>
      <c r="H3" s="128"/>
      <c r="I3" s="128"/>
      <c r="J3" s="98"/>
    </row>
    <row r="4" spans="1:10" ht="21" customHeight="1" x14ac:dyDescent="0.5">
      <c r="A4" s="55"/>
      <c r="B4" s="126" t="s">
        <v>185</v>
      </c>
      <c r="C4" s="126"/>
      <c r="D4" s="126"/>
      <c r="E4" s="126"/>
      <c r="F4" s="126"/>
      <c r="G4" s="126"/>
      <c r="H4" s="126"/>
      <c r="I4" s="126"/>
      <c r="J4" s="99"/>
    </row>
    <row r="5" spans="1:10" s="1" customFormat="1" x14ac:dyDescent="0.35">
      <c r="A5" s="56"/>
      <c r="B5" t="s">
        <v>4</v>
      </c>
      <c r="C5" s="171">
        <v>699</v>
      </c>
      <c r="D5" s="171"/>
      <c r="E5" s="171"/>
      <c r="F5" s="171"/>
      <c r="G5" s="171"/>
      <c r="H5" s="171"/>
      <c r="J5" s="57"/>
    </row>
    <row r="6" spans="1:10" s="1" customFormat="1" x14ac:dyDescent="0.35">
      <c r="A6" s="56"/>
      <c r="B6" t="s">
        <v>5</v>
      </c>
      <c r="C6" s="173" t="s">
        <v>186</v>
      </c>
      <c r="D6" s="174"/>
      <c r="E6" s="174"/>
      <c r="F6" s="174"/>
      <c r="G6" s="174"/>
      <c r="H6" s="175"/>
      <c r="J6" s="57"/>
    </row>
    <row r="7" spans="1:10" s="1" customFormat="1" ht="15" thickBot="1" x14ac:dyDescent="0.4">
      <c r="A7" s="58"/>
      <c r="B7" s="59" t="s">
        <v>6</v>
      </c>
      <c r="C7" s="172">
        <v>40000516</v>
      </c>
      <c r="D7" s="172"/>
      <c r="E7" s="172"/>
      <c r="F7" s="172"/>
      <c r="G7" s="172"/>
      <c r="H7" s="172"/>
      <c r="I7" s="60"/>
      <c r="J7" s="61"/>
    </row>
    <row r="8" spans="1:10" s="1" customFormat="1" ht="10" customHeight="1" thickTop="1" x14ac:dyDescent="0.35">
      <c r="A8" s="56"/>
      <c r="B8"/>
      <c r="C8"/>
      <c r="D8" s="116"/>
      <c r="J8" s="57"/>
    </row>
    <row r="9" spans="1:10" s="1" customFormat="1" x14ac:dyDescent="0.35">
      <c r="A9" s="56"/>
      <c r="B9" s="129" t="s">
        <v>7</v>
      </c>
      <c r="C9" s="130"/>
      <c r="D9" s="130"/>
      <c r="E9" s="130"/>
      <c r="F9" s="130"/>
      <c r="G9" s="130"/>
      <c r="H9" s="130"/>
      <c r="I9" s="131"/>
      <c r="J9" s="57"/>
    </row>
    <row r="10" spans="1:10" s="1" customFormat="1" x14ac:dyDescent="0.35">
      <c r="A10" s="56"/>
      <c r="B10" s="15" t="s">
        <v>8</v>
      </c>
      <c r="C10" s="171" t="s">
        <v>187</v>
      </c>
      <c r="D10" s="171"/>
      <c r="E10" s="171"/>
      <c r="F10" s="171"/>
      <c r="G10" s="171"/>
      <c r="H10" s="171"/>
      <c r="I10" s="62"/>
      <c r="J10" s="57"/>
    </row>
    <row r="11" spans="1:10" s="1" customFormat="1" x14ac:dyDescent="0.35">
      <c r="A11" s="56"/>
      <c r="B11" s="15" t="s">
        <v>9</v>
      </c>
      <c r="C11" s="190" t="s">
        <v>188</v>
      </c>
      <c r="D11" s="190"/>
      <c r="E11" s="190"/>
      <c r="F11" s="190"/>
      <c r="G11" s="190"/>
      <c r="H11" s="190"/>
      <c r="I11" s="62"/>
      <c r="J11" s="57"/>
    </row>
    <row r="12" spans="1:10" s="1" customFormat="1" x14ac:dyDescent="0.35">
      <c r="A12" s="56"/>
      <c r="B12" s="18" t="s">
        <v>10</v>
      </c>
      <c r="C12" s="191" t="s">
        <v>189</v>
      </c>
      <c r="D12" s="191"/>
      <c r="E12" s="191"/>
      <c r="F12" s="191"/>
      <c r="G12" s="191"/>
      <c r="H12" s="191"/>
      <c r="I12" s="63"/>
      <c r="J12" s="57"/>
    </row>
    <row r="13" spans="1:10" ht="10" customHeight="1" thickBot="1" x14ac:dyDescent="0.4">
      <c r="A13" s="53"/>
      <c r="D13" s="64"/>
      <c r="J13" s="54"/>
    </row>
    <row r="14" spans="1:10" s="65" customFormat="1" ht="27" customHeight="1" thickTop="1" thickBot="1" x14ac:dyDescent="0.4">
      <c r="A14" s="132" t="s">
        <v>11</v>
      </c>
      <c r="B14" s="133"/>
      <c r="C14" s="133"/>
      <c r="D14" s="133"/>
      <c r="E14" s="133"/>
      <c r="F14" s="133"/>
      <c r="G14" s="133"/>
      <c r="H14" s="133"/>
      <c r="I14" s="133"/>
      <c r="J14" s="134"/>
    </row>
    <row r="15" spans="1:10" ht="10" customHeight="1" thickTop="1" x14ac:dyDescent="0.35">
      <c r="A15" s="53"/>
      <c r="D15" s="64"/>
      <c r="J15" s="54"/>
    </row>
    <row r="16" spans="1:10" ht="77" customHeight="1" x14ac:dyDescent="0.35">
      <c r="A16" s="53"/>
      <c r="B16" s="207" t="s">
        <v>207</v>
      </c>
      <c r="C16" s="204" t="s">
        <v>190</v>
      </c>
      <c r="D16" s="205"/>
      <c r="E16" s="205"/>
      <c r="F16" s="205"/>
      <c r="G16" s="205"/>
      <c r="H16" s="205"/>
      <c r="I16" s="206"/>
      <c r="J16" s="54"/>
    </row>
    <row r="17" spans="1:10" ht="4" customHeight="1" x14ac:dyDescent="0.35">
      <c r="A17" s="53"/>
      <c r="B17" s="150"/>
      <c r="C17" s="198"/>
      <c r="D17" s="199"/>
      <c r="E17" s="199"/>
      <c r="F17" s="199"/>
      <c r="G17" s="199"/>
      <c r="H17" s="199"/>
      <c r="I17" s="200"/>
      <c r="J17" s="54"/>
    </row>
    <row r="18" spans="1:10" ht="4" customHeight="1" x14ac:dyDescent="0.35">
      <c r="A18" s="53"/>
      <c r="B18" s="150"/>
      <c r="C18" s="198"/>
      <c r="D18" s="199"/>
      <c r="E18" s="199"/>
      <c r="F18" s="199"/>
      <c r="G18" s="199"/>
      <c r="H18" s="199"/>
      <c r="I18" s="200"/>
      <c r="J18" s="54"/>
    </row>
    <row r="19" spans="1:10" ht="4" customHeight="1" x14ac:dyDescent="0.35">
      <c r="A19" s="53"/>
      <c r="B19" s="150"/>
      <c r="C19" s="201"/>
      <c r="D19" s="202"/>
      <c r="E19" s="202"/>
      <c r="F19" s="202"/>
      <c r="G19" s="202"/>
      <c r="H19" s="202"/>
      <c r="I19" s="203"/>
      <c r="J19" s="54"/>
    </row>
    <row r="20" spans="1:10" ht="10" customHeight="1" x14ac:dyDescent="0.35">
      <c r="A20" s="53"/>
      <c r="B20" s="66"/>
      <c r="C20" s="67"/>
      <c r="D20" s="67"/>
      <c r="E20" s="67"/>
      <c r="F20" s="67"/>
      <c r="G20" s="67"/>
      <c r="H20" s="67"/>
      <c r="I20" s="87"/>
      <c r="J20" s="54"/>
    </row>
    <row r="21" spans="1:10" ht="89" customHeight="1" x14ac:dyDescent="0.35">
      <c r="A21" s="53"/>
      <c r="B21" s="208" t="s">
        <v>208</v>
      </c>
      <c r="C21" s="204" t="s">
        <v>191</v>
      </c>
      <c r="D21" s="205"/>
      <c r="E21" s="205"/>
      <c r="F21" s="205"/>
      <c r="G21" s="205"/>
      <c r="H21" s="205"/>
      <c r="I21" s="206"/>
      <c r="J21" s="54"/>
    </row>
    <row r="22" spans="1:10" ht="4" customHeight="1" x14ac:dyDescent="0.35">
      <c r="A22" s="53"/>
      <c r="B22" s="148"/>
      <c r="C22" s="198"/>
      <c r="D22" s="199"/>
      <c r="E22" s="199"/>
      <c r="F22" s="199"/>
      <c r="G22" s="199"/>
      <c r="H22" s="199"/>
      <c r="I22" s="200"/>
      <c r="J22" s="54"/>
    </row>
    <row r="23" spans="1:10" ht="4" customHeight="1" x14ac:dyDescent="0.35">
      <c r="A23" s="53"/>
      <c r="B23" s="148"/>
      <c r="C23" s="198"/>
      <c r="D23" s="199"/>
      <c r="E23" s="199"/>
      <c r="F23" s="199"/>
      <c r="G23" s="199"/>
      <c r="H23" s="199"/>
      <c r="I23" s="200"/>
      <c r="J23" s="54"/>
    </row>
    <row r="24" spans="1:10" ht="4" customHeight="1" x14ac:dyDescent="0.35">
      <c r="A24" s="53"/>
      <c r="B24" s="148"/>
      <c r="C24" s="198"/>
      <c r="D24" s="199"/>
      <c r="E24" s="199"/>
      <c r="F24" s="199"/>
      <c r="G24" s="199"/>
      <c r="H24" s="199"/>
      <c r="I24" s="200"/>
      <c r="J24" s="54"/>
    </row>
    <row r="25" spans="1:10" ht="5.25" customHeight="1" x14ac:dyDescent="0.35">
      <c r="A25" s="53"/>
      <c r="B25" s="148"/>
      <c r="C25" s="198"/>
      <c r="D25" s="199"/>
      <c r="E25" s="199"/>
      <c r="F25" s="199"/>
      <c r="G25" s="199"/>
      <c r="H25" s="199"/>
      <c r="I25" s="200"/>
      <c r="J25" s="54"/>
    </row>
    <row r="26" spans="1:10" ht="5.25" customHeight="1" x14ac:dyDescent="0.35">
      <c r="A26" s="53"/>
      <c r="B26" s="148"/>
      <c r="C26" s="198"/>
      <c r="D26" s="199"/>
      <c r="E26" s="199"/>
      <c r="F26" s="199"/>
      <c r="G26" s="199"/>
      <c r="H26" s="199"/>
      <c r="I26" s="200"/>
      <c r="J26" s="54"/>
    </row>
    <row r="27" spans="1:10" ht="5.25" customHeight="1" x14ac:dyDescent="0.35">
      <c r="A27" s="53"/>
      <c r="B27" s="149"/>
      <c r="C27" s="201"/>
      <c r="D27" s="202"/>
      <c r="E27" s="202"/>
      <c r="F27" s="202"/>
      <c r="G27" s="202"/>
      <c r="H27" s="202"/>
      <c r="I27" s="203"/>
      <c r="J27" s="54"/>
    </row>
    <row r="28" spans="1:10" ht="10" customHeight="1" x14ac:dyDescent="0.35">
      <c r="A28" s="53"/>
      <c r="D28" s="64"/>
      <c r="J28" s="54"/>
    </row>
    <row r="29" spans="1:10" s="1" customFormat="1" x14ac:dyDescent="0.35">
      <c r="A29" s="56"/>
      <c r="B29" s="129" t="s">
        <v>12</v>
      </c>
      <c r="C29" s="130"/>
      <c r="D29" s="130"/>
      <c r="E29" s="130"/>
      <c r="F29" s="130"/>
      <c r="G29" s="130"/>
      <c r="H29" s="130"/>
      <c r="I29" s="131"/>
      <c r="J29" s="57"/>
    </row>
    <row r="30" spans="1:10" ht="15" customHeight="1" x14ac:dyDescent="0.35">
      <c r="A30" s="53"/>
      <c r="B30" s="68"/>
      <c r="C30" s="135" t="s">
        <v>13</v>
      </c>
      <c r="D30" s="136"/>
      <c r="E30" s="136"/>
      <c r="F30" s="136"/>
      <c r="G30" s="137"/>
      <c r="H30" s="137"/>
      <c r="I30" s="151"/>
      <c r="J30" s="54"/>
    </row>
    <row r="31" spans="1:10" ht="15" customHeight="1" thickBot="1" x14ac:dyDescent="0.4">
      <c r="A31" s="53"/>
      <c r="B31" s="68"/>
      <c r="C31" s="135" t="s">
        <v>14</v>
      </c>
      <c r="D31" s="138"/>
      <c r="E31" s="135" t="s">
        <v>15</v>
      </c>
      <c r="F31" s="136"/>
      <c r="G31" s="136"/>
      <c r="H31" s="13"/>
      <c r="I31" s="152"/>
      <c r="J31" s="54"/>
    </row>
    <row r="32" spans="1:10" s="1" customFormat="1" ht="29" x14ac:dyDescent="0.35">
      <c r="A32" s="56"/>
      <c r="B32" s="10" t="s">
        <v>18</v>
      </c>
      <c r="C32" s="69" t="s">
        <v>19</v>
      </c>
      <c r="D32" s="4" t="s">
        <v>20</v>
      </c>
      <c r="E32" s="4" t="s">
        <v>21</v>
      </c>
      <c r="F32" s="4" t="s">
        <v>22</v>
      </c>
      <c r="G32" s="5" t="s">
        <v>23</v>
      </c>
      <c r="H32" s="121" t="s">
        <v>16</v>
      </c>
      <c r="I32" s="122"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204</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0</v>
      </c>
      <c r="D38" s="45">
        <f>SUM(D39:D42)</f>
        <v>0</v>
      </c>
      <c r="E38" s="45">
        <f>SUM(E39:E42)</f>
        <v>0</v>
      </c>
      <c r="F38" s="45">
        <f>SUM(F39:F42)</f>
        <v>0</v>
      </c>
      <c r="G38" s="46">
        <f>SUM(G39:G42)</f>
        <v>0</v>
      </c>
      <c r="H38" s="47">
        <f>SUM(C38:G38)</f>
        <v>0</v>
      </c>
      <c r="I38" s="7"/>
      <c r="J38" s="54"/>
    </row>
    <row r="39" spans="1:10" x14ac:dyDescent="0.35">
      <c r="A39" s="53"/>
      <c r="B39" s="8" t="s">
        <v>204</v>
      </c>
      <c r="C39" s="100"/>
      <c r="D39" s="101"/>
      <c r="E39" s="101"/>
      <c r="F39" s="101"/>
      <c r="G39" s="102"/>
      <c r="H39" s="9">
        <f>SUM(C39:G39)</f>
        <v>0</v>
      </c>
      <c r="I39" s="103"/>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SUM(C44:C49)</f>
        <v>25037108.010000002</v>
      </c>
      <c r="D43" s="45">
        <f>SUM(D44:D49)</f>
        <v>186573.13</v>
      </c>
      <c r="E43" s="45">
        <f>SUM(E44:E49)</f>
        <v>1080811.28</v>
      </c>
      <c r="F43" s="45">
        <f>SUM(F44:F49)</f>
        <v>0</v>
      </c>
      <c r="G43" s="46">
        <f>SUM(G44:G49)</f>
        <v>0</v>
      </c>
      <c r="H43" s="47">
        <f>SUM(C43:G43)</f>
        <v>26304492.420000002</v>
      </c>
      <c r="I43" s="7"/>
      <c r="J43" s="54"/>
    </row>
    <row r="44" spans="1:10" x14ac:dyDescent="0.35">
      <c r="A44" s="53"/>
      <c r="B44" s="8" t="s">
        <v>196</v>
      </c>
      <c r="C44" s="100">
        <v>11933177.5</v>
      </c>
      <c r="D44" s="101">
        <v>171937.63</v>
      </c>
      <c r="E44" s="101">
        <v>1053884.3700000001</v>
      </c>
      <c r="F44" s="101"/>
      <c r="G44" s="102"/>
      <c r="H44" s="9">
        <f>SUM(C44:G44)</f>
        <v>13158999.5</v>
      </c>
      <c r="I44" s="161" t="s">
        <v>203</v>
      </c>
      <c r="J44" s="54"/>
    </row>
    <row r="45" spans="1:10" x14ac:dyDescent="0.35">
      <c r="A45" s="53"/>
      <c r="B45" s="96" t="s">
        <v>197</v>
      </c>
      <c r="C45" s="100">
        <v>1000000</v>
      </c>
      <c r="D45" s="101"/>
      <c r="E45" s="101"/>
      <c r="F45" s="101"/>
      <c r="G45" s="102"/>
      <c r="H45" s="9">
        <f>SUM(C45:G45)</f>
        <v>1000000</v>
      </c>
      <c r="I45" s="161" t="s">
        <v>192</v>
      </c>
      <c r="J45" s="54"/>
    </row>
    <row r="46" spans="1:10" x14ac:dyDescent="0.35">
      <c r="A46" s="53"/>
      <c r="B46" s="96" t="s">
        <v>198</v>
      </c>
      <c r="C46" s="100">
        <v>10921437.6</v>
      </c>
      <c r="D46" s="101">
        <v>14635.5</v>
      </c>
      <c r="E46" s="101">
        <v>26926.91</v>
      </c>
      <c r="F46" s="101"/>
      <c r="G46" s="102"/>
      <c r="H46" s="9">
        <f t="shared" ref="H46:H49" si="2">SUM(C46:G46)</f>
        <v>10963000.01</v>
      </c>
      <c r="I46" s="161" t="s">
        <v>193</v>
      </c>
      <c r="J46" s="54"/>
    </row>
    <row r="47" spans="1:10" x14ac:dyDescent="0.35">
      <c r="A47" s="53"/>
      <c r="B47" s="96" t="s">
        <v>199</v>
      </c>
      <c r="C47" s="100">
        <v>639526.43999999994</v>
      </c>
      <c r="D47" s="101"/>
      <c r="E47" s="101"/>
      <c r="F47" s="101"/>
      <c r="G47" s="102"/>
      <c r="H47" s="9">
        <f t="shared" si="2"/>
        <v>639526.43999999994</v>
      </c>
      <c r="I47" s="161" t="s">
        <v>194</v>
      </c>
      <c r="J47" s="54"/>
    </row>
    <row r="48" spans="1:10" x14ac:dyDescent="0.35">
      <c r="A48" s="53"/>
      <c r="B48" s="96" t="s">
        <v>200</v>
      </c>
      <c r="C48" s="100">
        <v>542966.47</v>
      </c>
      <c r="D48" s="101"/>
      <c r="E48" s="101"/>
      <c r="F48" s="101"/>
      <c r="G48" s="102"/>
      <c r="H48" s="9">
        <f t="shared" si="2"/>
        <v>542966.47</v>
      </c>
      <c r="I48" s="161" t="s">
        <v>195</v>
      </c>
      <c r="J48" s="54"/>
    </row>
    <row r="49" spans="1:10" x14ac:dyDescent="0.35">
      <c r="A49" s="53"/>
      <c r="B49" s="95" t="s">
        <v>27</v>
      </c>
      <c r="C49" s="100"/>
      <c r="D49" s="101"/>
      <c r="E49" s="101"/>
      <c r="F49" s="101"/>
      <c r="G49" s="102"/>
      <c r="H49" s="9">
        <f t="shared" si="2"/>
        <v>0</v>
      </c>
      <c r="I49" s="103"/>
      <c r="J49" s="54"/>
    </row>
    <row r="50" spans="1:10" s="1" customFormat="1" ht="15" thickBot="1" x14ac:dyDescent="0.4">
      <c r="A50" s="56"/>
      <c r="B50" s="10" t="s">
        <v>30</v>
      </c>
      <c r="C50" s="48">
        <f>C33+C38+C43</f>
        <v>25037108.010000002</v>
      </c>
      <c r="D50" s="48">
        <f>D33+D38+D43</f>
        <v>186573.13</v>
      </c>
      <c r="E50" s="48">
        <f>E33+E38+E43</f>
        <v>1080811.28</v>
      </c>
      <c r="F50" s="48">
        <f>F33+F38+F43</f>
        <v>0</v>
      </c>
      <c r="G50" s="49">
        <f>G33+G38+G43</f>
        <v>0</v>
      </c>
      <c r="H50" s="50">
        <f>SUM(C50:G50)</f>
        <v>26304492.420000002</v>
      </c>
      <c r="I50" s="7"/>
      <c r="J50" s="57"/>
    </row>
    <row r="51" spans="1:10" s="1" customFormat="1" ht="10" customHeight="1" x14ac:dyDescent="0.35">
      <c r="A51" s="56"/>
      <c r="C51" s="70"/>
      <c r="D51" s="70"/>
      <c r="J51" s="57"/>
    </row>
    <row r="52" spans="1:10" s="1" customFormat="1" x14ac:dyDescent="0.35">
      <c r="A52" s="56"/>
      <c r="B52" s="139" t="s">
        <v>31</v>
      </c>
      <c r="C52" s="140"/>
      <c r="D52" s="140"/>
      <c r="E52" s="140"/>
      <c r="F52" s="140"/>
      <c r="G52" s="140"/>
      <c r="H52" s="140"/>
      <c r="I52" s="141"/>
      <c r="J52" s="57"/>
    </row>
    <row r="53" spans="1:10" x14ac:dyDescent="0.35">
      <c r="A53" s="53"/>
      <c r="B53" s="71" t="s">
        <v>32</v>
      </c>
      <c r="C53" s="195" t="s">
        <v>114</v>
      </c>
      <c r="D53" s="195"/>
      <c r="E53" s="194" t="s">
        <v>33</v>
      </c>
      <c r="F53" s="194"/>
      <c r="G53" s="192" t="s">
        <v>93</v>
      </c>
      <c r="H53" s="192"/>
      <c r="I53" s="16"/>
      <c r="J53" s="54"/>
    </row>
    <row r="54" spans="1:10" x14ac:dyDescent="0.35">
      <c r="A54" s="53"/>
      <c r="B54" s="15" t="s">
        <v>205</v>
      </c>
      <c r="C54" s="196">
        <v>1</v>
      </c>
      <c r="D54" s="197"/>
      <c r="E54" t="s">
        <v>34</v>
      </c>
      <c r="G54" s="193" t="s">
        <v>92</v>
      </c>
      <c r="H54" s="193"/>
      <c r="I54" s="16"/>
      <c r="J54" s="54"/>
    </row>
    <row r="55" spans="1:10" x14ac:dyDescent="0.35">
      <c r="A55" s="53"/>
      <c r="B55" s="18" t="s">
        <v>35</v>
      </c>
      <c r="C55" s="193" t="s">
        <v>104</v>
      </c>
      <c r="D55" s="193"/>
      <c r="E55" s="19" t="s">
        <v>36</v>
      </c>
      <c r="F55" s="19"/>
      <c r="G55" s="193" t="s">
        <v>92</v>
      </c>
      <c r="H55" s="193"/>
      <c r="I55" s="20"/>
      <c r="J55" s="54"/>
    </row>
    <row r="56" spans="1:10" ht="10" customHeight="1" x14ac:dyDescent="0.35">
      <c r="A56" s="53"/>
      <c r="J56" s="54"/>
    </row>
    <row r="57" spans="1:10" x14ac:dyDescent="0.35">
      <c r="A57" s="53"/>
      <c r="B57" s="139" t="s">
        <v>37</v>
      </c>
      <c r="C57" s="140"/>
      <c r="D57" s="140"/>
      <c r="E57" s="140"/>
      <c r="F57" s="140"/>
      <c r="G57" s="140"/>
      <c r="H57" s="140"/>
      <c r="I57" s="141"/>
      <c r="J57" s="54"/>
    </row>
    <row r="58" spans="1:10" ht="75" customHeight="1" x14ac:dyDescent="0.35">
      <c r="A58" s="53"/>
      <c r="B58" s="147" t="s">
        <v>38</v>
      </c>
      <c r="C58" s="147"/>
      <c r="D58" s="147"/>
      <c r="E58" s="69" t="s">
        <v>39</v>
      </c>
      <c r="F58" s="69" t="s">
        <v>40</v>
      </c>
      <c r="G58" s="69" t="str">
        <f>IF(FCOR=TRUE, "Actuals at Final Completion", "Actuals to Date")</f>
        <v>Actuals at Final Completion</v>
      </c>
      <c r="H58" s="88" t="s">
        <v>41</v>
      </c>
      <c r="I58" s="11" t="s">
        <v>17</v>
      </c>
      <c r="J58" s="54"/>
    </row>
    <row r="59" spans="1:10" x14ac:dyDescent="0.35">
      <c r="A59" s="53"/>
      <c r="B59" s="12" t="s">
        <v>42</v>
      </c>
      <c r="C59" s="13"/>
      <c r="D59" s="14"/>
      <c r="E59" s="104"/>
      <c r="F59" s="162">
        <v>38800</v>
      </c>
      <c r="G59" s="105">
        <v>38800</v>
      </c>
      <c r="H59" s="89">
        <f>IF($H$58=Lists!$D$8, IFERROR(F59-E59, ""), IF($H$58=Lists!$D$9, IFERROR(G59-E59, ""), IFERROR(G59-F59, "")))</f>
        <v>0</v>
      </c>
      <c r="I59" s="115"/>
      <c r="J59" s="54"/>
    </row>
    <row r="60" spans="1:10" x14ac:dyDescent="0.35">
      <c r="A60" s="53"/>
      <c r="B60" s="15" t="s">
        <v>43</v>
      </c>
      <c r="D60" s="16"/>
      <c r="E60" s="104"/>
      <c r="F60" s="162">
        <v>24761</v>
      </c>
      <c r="G60" s="105">
        <v>24761</v>
      </c>
      <c r="H60" s="89">
        <f>IF($H$58=Lists!$D$8, IFERROR(F60-E60, ""), IF($H$58=Lists!$D$9, IFERROR(G60-E60, ""), IFERROR(G60-F60, "")))</f>
        <v>0</v>
      </c>
      <c r="I60" s="115"/>
      <c r="J60" s="54"/>
    </row>
    <row r="61" spans="1:10" x14ac:dyDescent="0.35">
      <c r="A61" s="53"/>
      <c r="B61" s="15" t="s">
        <v>44</v>
      </c>
      <c r="D61" s="16"/>
      <c r="E61" s="17" t="str">
        <f>IFERROR(E60/E59, "")</f>
        <v/>
      </c>
      <c r="F61" s="17">
        <f t="shared" ref="F61:G61" si="3">IFERROR(F60/F59, "")</f>
        <v>0.63817010309278355</v>
      </c>
      <c r="G61" s="17">
        <f t="shared" si="3"/>
        <v>0.63817010309278355</v>
      </c>
      <c r="H61" s="90">
        <f t="shared" ref="H61" si="4">IFERROR(G61-F61, "")</f>
        <v>0</v>
      </c>
      <c r="I61" s="72"/>
      <c r="J61" s="54"/>
    </row>
    <row r="62" spans="1:10" x14ac:dyDescent="0.35">
      <c r="A62" s="53"/>
      <c r="B62" s="15" t="s">
        <v>45</v>
      </c>
      <c r="D62" s="16"/>
      <c r="E62" s="104"/>
      <c r="F62" s="104"/>
      <c r="G62" s="105">
        <v>38800</v>
      </c>
      <c r="H62" s="91">
        <f>IF($H$58=Lists!$D$8, IFERROR(F62-E62, ""), IF($H$58=Lists!$D$9, IFERROR(G62-E62, ""), IFERROR(G62-F62, "")))</f>
        <v>38800</v>
      </c>
      <c r="I62" s="115"/>
      <c r="J62" s="54"/>
    </row>
    <row r="63" spans="1:10" x14ac:dyDescent="0.35">
      <c r="A63" s="53"/>
      <c r="B63" s="18" t="s">
        <v>46</v>
      </c>
      <c r="C63" s="19"/>
      <c r="D63" s="20"/>
      <c r="E63" s="105"/>
      <c r="F63" s="105"/>
      <c r="G63" s="105">
        <v>0</v>
      </c>
      <c r="H63" s="91">
        <f>IF($H$58=Lists!$D$8, IFERROR(F63-E63, ""), IF($H$58=Lists!$D$9, IFERROR(G63-E63, ""), IFERROR(G63-F63, "")))</f>
        <v>0</v>
      </c>
      <c r="I63" s="114"/>
      <c r="J63" s="54"/>
    </row>
    <row r="64" spans="1:10" x14ac:dyDescent="0.35">
      <c r="A64" s="53"/>
      <c r="B64" s="15" t="s">
        <v>47</v>
      </c>
      <c r="E64" s="21" t="str">
        <f>IFERROR(E93/E59, "")</f>
        <v/>
      </c>
      <c r="F64" s="21">
        <f>IFERROR(F93/F59, "")</f>
        <v>477.1513917525773</v>
      </c>
      <c r="G64" s="21">
        <f>IFERROR(G93/G59, "")</f>
        <v>489.44095721649484</v>
      </c>
      <c r="H64" s="92">
        <f>IF($H$58=Lists!$D$8, IFERROR(F64-E64, ""), IF($H$58=Lists!$D$9, IFERROR(G64-E64, ""), IFERROR(G64-F64, "")))</f>
        <v>12.28956546391754</v>
      </c>
      <c r="I64" s="73"/>
      <c r="J64" s="54"/>
    </row>
    <row r="65" spans="1:10" x14ac:dyDescent="0.35">
      <c r="A65" s="53"/>
      <c r="B65" s="18" t="s">
        <v>48</v>
      </c>
      <c r="C65" s="19"/>
      <c r="D65" s="20"/>
      <c r="E65" s="22" t="str">
        <f>IFERROR(E99/E59, "")</f>
        <v/>
      </c>
      <c r="F65" s="22">
        <f>IFERROR(F99/F59, "")</f>
        <v>562.32471649484535</v>
      </c>
      <c r="G65" s="22">
        <f>IFERROR(G99/G59, "")</f>
        <v>594.88319304123718</v>
      </c>
      <c r="H65" s="92">
        <f>IF($H$58=Lists!$D$8, IFERROR(F65-E65, ""), IF($H$58=Lists!$D$9, IFERROR(G65-E65, ""), IFERROR(G65-F65, "")))</f>
        <v>32.55847654639183</v>
      </c>
      <c r="I65" s="74"/>
      <c r="J65" s="54"/>
    </row>
    <row r="66" spans="1:10" x14ac:dyDescent="0.35">
      <c r="A66" s="53"/>
      <c r="B66" s="142" t="s">
        <v>49</v>
      </c>
      <c r="C66" s="143"/>
      <c r="D66" s="143"/>
      <c r="E66" s="143"/>
      <c r="F66" s="143"/>
      <c r="G66" s="143"/>
      <c r="H66" s="143"/>
      <c r="I66" s="144"/>
      <c r="J66" s="54"/>
    </row>
    <row r="67" spans="1:10" x14ac:dyDescent="0.35">
      <c r="A67" s="53"/>
      <c r="B67" s="12" t="s">
        <v>50</v>
      </c>
      <c r="C67" s="13"/>
      <c r="D67" s="14"/>
      <c r="E67" s="106"/>
      <c r="F67" s="163">
        <v>44757</v>
      </c>
      <c r="G67" s="164">
        <v>44757</v>
      </c>
      <c r="H67" s="89" t="str">
        <f>IF(SUM(E67:G67)=0, "", IF($H$58=Lists!$D$8, IFERROR(MROUND(CONVERT(F67-E67,"day","yr")*12, 0.5)&amp;" mo.", ""), IF($H$58=Lists!$D$9, IFERROR(MROUND(CONVERT(G67-E67,"day","yr")*12, 0.5)&amp;" mo.", ""), IFERROR(MROUND(CONVERT(G67-F67,"day","yr")*12, 0.5)&amp;" mo.", ""))))</f>
        <v>0 mo.</v>
      </c>
      <c r="I67" s="115"/>
      <c r="J67" s="54"/>
    </row>
    <row r="68" spans="1:10" x14ac:dyDescent="0.35">
      <c r="A68" s="53"/>
      <c r="B68" s="15" t="s">
        <v>51</v>
      </c>
      <c r="D68" s="16"/>
      <c r="E68" s="106"/>
      <c r="F68" s="163">
        <v>44958</v>
      </c>
      <c r="G68" s="164">
        <v>44958</v>
      </c>
      <c r="H68" s="89" t="str">
        <f>IF(SUM(E68:G68)=0, "", IF($H$58=Lists!$D$8, IFERROR(MROUND(CONVERT(F68-E68,"day","yr")*12, 0.5)&amp;" mo.", ""), IF($H$58=Lists!$D$9, IFERROR(MROUND(CONVERT(G68-E68,"day","yr")*12, 0.5)&amp;" mo.", ""), IFERROR(MROUND(CONVERT(G68-F68,"day","yr")*12, 0.5)&amp;" mo.", ""))))</f>
        <v>0 mo.</v>
      </c>
      <c r="I68" s="115"/>
      <c r="J68" s="54"/>
    </row>
    <row r="69" spans="1:10" x14ac:dyDescent="0.35">
      <c r="A69" s="53"/>
      <c r="B69" s="15" t="s">
        <v>52</v>
      </c>
      <c r="D69" s="16"/>
      <c r="E69" s="106"/>
      <c r="F69" s="163"/>
      <c r="G69" s="164"/>
      <c r="H69" s="89" t="str">
        <f>IF(SUM(E69:G69)=0, "", IF($H$58=Lists!$D$8, IFERROR(MROUND(CONVERT(F69-E69,"day","yr")*12, 0.5)&amp;" mo.", ""), IF($H$58=Lists!$D$9, IFERROR(MROUND(CONVERT(G69-E69,"day","yr")*12, 0.5)&amp;" mo.", ""), IFERROR(MROUND(CONVERT(G69-F69,"day","yr")*12, 0.5)&amp;" mo.", ""))))</f>
        <v/>
      </c>
      <c r="I69" s="115"/>
      <c r="J69" s="54"/>
    </row>
    <row r="70" spans="1:10" x14ac:dyDescent="0.35">
      <c r="A70" s="53"/>
      <c r="B70" s="15" t="s">
        <v>53</v>
      </c>
      <c r="D70" s="16"/>
      <c r="E70" s="106"/>
      <c r="F70" s="163">
        <v>44945</v>
      </c>
      <c r="G70" s="164">
        <v>44945</v>
      </c>
      <c r="H70" s="89" t="str">
        <f>IF(SUM(E70:G70)=0, "", IF($H$58=Lists!$D$8, IFERROR(MROUND(CONVERT(F70-E70,"day","yr")*12, 0.5)&amp;" mo.", ""), IF($H$58=Lists!$D$9, IFERROR(MROUND(CONVERT(G70-E70,"day","yr")*12, 0.5)&amp;" mo.", ""), IFERROR(MROUND(CONVERT(G70-F70,"day","yr")*12, 0.5)&amp;" mo.", ""))))</f>
        <v>0 mo.</v>
      </c>
      <c r="I70" s="115"/>
      <c r="J70" s="54"/>
    </row>
    <row r="71" spans="1:10" x14ac:dyDescent="0.35">
      <c r="A71" s="53"/>
      <c r="B71" s="15" t="s">
        <v>54</v>
      </c>
      <c r="D71" s="16"/>
      <c r="E71" s="106"/>
      <c r="F71" s="163">
        <v>45565</v>
      </c>
      <c r="G71" s="164">
        <v>45663</v>
      </c>
      <c r="H71" s="89" t="str">
        <f>IF(SUM(E71:G71)=0, "", IF($H$58=Lists!$D$8, IFERROR(MROUND(CONVERT(F71-E71,"day","yr")*12, 0.5)&amp;" mo.", ""), IF($H$58=Lists!$D$9, IFERROR(MROUND(CONVERT(G71-E71,"day","yr")*12, 0.5)&amp;" mo.", ""), IFERROR(MROUND(CONVERT(G71-F71,"day","yr")*12, 0.5)&amp;" mo.", ""))))</f>
        <v>3 mo.</v>
      </c>
      <c r="I71" s="160" t="s">
        <v>201</v>
      </c>
      <c r="J71" s="54"/>
    </row>
    <row r="72" spans="1:10" x14ac:dyDescent="0.35">
      <c r="A72" s="53"/>
      <c r="B72" s="18" t="s">
        <v>55</v>
      </c>
      <c r="C72" s="19"/>
      <c r="D72" s="20"/>
      <c r="E72" s="106"/>
      <c r="F72" s="163">
        <v>45717</v>
      </c>
      <c r="G72" s="164">
        <v>45965</v>
      </c>
      <c r="H72" s="89" t="str">
        <f>IF(SUM(E72:G72)=0, "", IF($H$58=Lists!$D$8, IFERROR(MROUND(CONVERT(F72-E72,"day","yr")*12, 0.5)&amp;" mo.", ""), IF($H$58=Lists!$D$9, IFERROR(MROUND(CONVERT(G72-E72,"day","yr")*12, 0.5)&amp;" mo.", ""), IFERROR(MROUND(CONVERT(G72-F72,"day","yr")*12, 0.5)&amp;" mo.", ""))))</f>
        <v>8 mo.</v>
      </c>
      <c r="I72" s="115"/>
      <c r="J72" s="54"/>
    </row>
    <row r="73" spans="1:10" ht="10" customHeight="1" thickBot="1" x14ac:dyDescent="0.4">
      <c r="A73" s="75"/>
      <c r="B73" s="23"/>
      <c r="C73" s="23"/>
      <c r="D73" s="23"/>
      <c r="E73" s="24"/>
      <c r="F73" s="24"/>
      <c r="G73" s="24"/>
      <c r="H73" s="25"/>
      <c r="I73" s="76"/>
      <c r="J73" s="77"/>
    </row>
    <row r="74" spans="1:10" s="65" customFormat="1" ht="27" customHeight="1" thickTop="1" thickBot="1" x14ac:dyDescent="0.4">
      <c r="A74" s="132" t="s">
        <v>56</v>
      </c>
      <c r="B74" s="133"/>
      <c r="C74" s="133"/>
      <c r="D74" s="133"/>
      <c r="E74" s="133"/>
      <c r="F74" s="133"/>
      <c r="G74" s="133"/>
      <c r="H74" s="133"/>
      <c r="I74" s="133"/>
      <c r="J74" s="134"/>
    </row>
    <row r="75" spans="1:10" ht="10" customHeight="1" thickTop="1" x14ac:dyDescent="0.35">
      <c r="A75" s="53"/>
      <c r="B75" s="117"/>
      <c r="C75" s="117"/>
      <c r="D75" s="117"/>
      <c r="E75" s="26"/>
      <c r="F75" s="26"/>
      <c r="G75" s="26"/>
      <c r="H75" s="27"/>
      <c r="I75" s="78"/>
      <c r="J75" s="54"/>
    </row>
    <row r="76" spans="1:10" ht="75" customHeight="1" x14ac:dyDescent="0.35">
      <c r="A76" s="53"/>
      <c r="B76" s="147" t="s">
        <v>38</v>
      </c>
      <c r="C76" s="147"/>
      <c r="D76" s="147"/>
      <c r="E76" s="69" t="s">
        <v>57</v>
      </c>
      <c r="F76" s="69" t="s">
        <v>58</v>
      </c>
      <c r="G76" s="69" t="str">
        <f>IF(FCOR=TRUE, "Actual Cost Data at Final Completion", "Actual Costs to Date")</f>
        <v>Actual Cost Data at Final Completion</v>
      </c>
      <c r="H76" s="69" t="str">
        <f>H58</f>
        <v>Estimate as Currently Funded to Actuals Variance</v>
      </c>
      <c r="I76" s="11" t="s">
        <v>17</v>
      </c>
      <c r="J76" s="54"/>
    </row>
    <row r="77" spans="1:10" x14ac:dyDescent="0.35">
      <c r="A77" s="53"/>
      <c r="B77" s="139" t="s">
        <v>59</v>
      </c>
      <c r="C77" s="140"/>
      <c r="D77" s="140"/>
      <c r="E77" s="140"/>
      <c r="F77" s="140"/>
      <c r="G77" s="140"/>
      <c r="H77" s="140"/>
      <c r="I77" s="141"/>
      <c r="J77" s="54"/>
    </row>
    <row r="78" spans="1:10" x14ac:dyDescent="0.35">
      <c r="A78" s="53"/>
      <c r="B78" s="156"/>
      <c r="C78" s="153"/>
      <c r="D78" s="123" t="s">
        <v>60</v>
      </c>
      <c r="E78" s="107"/>
      <c r="F78" s="107"/>
      <c r="G78" s="107"/>
      <c r="H78" s="93">
        <f>IF($H$58=Lists!$D$8, IFERROR(F78-E78, ""), IF($H$58=Lists!$D$9, IFERROR(G78-E78, ""), IFERROR(G78-F78, "")))</f>
        <v>0</v>
      </c>
      <c r="I78" s="115"/>
      <c r="J78" s="54"/>
    </row>
    <row r="79" spans="1:10" ht="10" customHeight="1" x14ac:dyDescent="0.35">
      <c r="A79" s="53"/>
      <c r="B79" s="112"/>
      <c r="C79" s="112"/>
      <c r="D79" s="112"/>
      <c r="E79" s="28"/>
      <c r="F79" s="28"/>
      <c r="G79" s="28"/>
      <c r="H79" s="29"/>
      <c r="I79" s="79"/>
      <c r="J79" s="54"/>
    </row>
    <row r="80" spans="1:10" x14ac:dyDescent="0.35">
      <c r="A80" s="53"/>
      <c r="B80" s="139" t="s">
        <v>61</v>
      </c>
      <c r="C80" s="140"/>
      <c r="D80" s="140"/>
      <c r="E80" s="140"/>
      <c r="F80" s="140"/>
      <c r="G80" s="140"/>
      <c r="H80" s="140"/>
      <c r="I80" s="141"/>
      <c r="J80" s="54"/>
    </row>
    <row r="81" spans="1:10" x14ac:dyDescent="0.35">
      <c r="A81" s="53"/>
      <c r="B81" s="12" t="s">
        <v>62</v>
      </c>
      <c r="C81" s="13"/>
      <c r="D81" s="14"/>
      <c r="E81" s="108"/>
      <c r="F81" s="165">
        <v>136807</v>
      </c>
      <c r="G81" s="166">
        <v>136321.54</v>
      </c>
      <c r="H81" s="30">
        <f>IF($H$58=Lists!$D$8, IFERROR(F81-E81, ""), IF($H$58=Lists!$D$9, IFERROR(G81-E81, ""), IFERROR(G81-F81, "")))</f>
        <v>-485.45999999999185</v>
      </c>
      <c r="I81" s="115"/>
      <c r="J81" s="54"/>
    </row>
    <row r="82" spans="1:10" x14ac:dyDescent="0.35">
      <c r="A82" s="53"/>
      <c r="B82" s="15" t="s">
        <v>63</v>
      </c>
      <c r="D82" s="16"/>
      <c r="E82" s="108"/>
      <c r="F82" s="165">
        <v>-2</v>
      </c>
      <c r="G82" s="166">
        <v>586366.56999999995</v>
      </c>
      <c r="H82" s="30">
        <f>IF($H$58=Lists!$D$8, IFERROR(F82-E82, ""), IF($H$58=Lists!$D$9, IFERROR(G82-E82, ""), IFERROR(G82-F82, "")))</f>
        <v>586368.56999999995</v>
      </c>
      <c r="I82" s="115"/>
      <c r="J82" s="54"/>
    </row>
    <row r="83" spans="1:10" x14ac:dyDescent="0.35">
      <c r="A83" s="53"/>
      <c r="B83" s="15" t="s">
        <v>64</v>
      </c>
      <c r="D83" s="16"/>
      <c r="E83" s="108"/>
      <c r="F83" s="165">
        <v>1863245</v>
      </c>
      <c r="G83" s="166">
        <v>1394899.22</v>
      </c>
      <c r="H83" s="30">
        <f>IF($H$58=Lists!$D$8, IFERROR(F83-E83, ""), IF($H$58=Lists!$D$9, IFERROR(G83-E83, ""), IFERROR(G83-F83, "")))</f>
        <v>-468345.78</v>
      </c>
      <c r="I83" s="115"/>
      <c r="J83" s="54"/>
    </row>
    <row r="84" spans="1:10" x14ac:dyDescent="0.35">
      <c r="A84" s="53"/>
      <c r="B84" s="15" t="s">
        <v>65</v>
      </c>
      <c r="D84" s="16"/>
      <c r="E84" s="108"/>
      <c r="F84" s="165">
        <v>-1</v>
      </c>
      <c r="G84" s="165">
        <v>1394899.22</v>
      </c>
      <c r="H84" s="30">
        <f>IF($H$58=Lists!$D$8, IFERROR(F84-E84, ""), IF($H$58=Lists!$D$9, IFERROR(G84-E84, ""), IFERROR(G84-F84, "")))</f>
        <v>1394900.22</v>
      </c>
      <c r="I84" s="115"/>
      <c r="J84" s="54"/>
    </row>
    <row r="85" spans="1:10" x14ac:dyDescent="0.35">
      <c r="A85" s="53"/>
      <c r="B85" s="15" t="s">
        <v>66</v>
      </c>
      <c r="D85" s="16"/>
      <c r="E85" s="108"/>
      <c r="F85" s="165">
        <v>-1</v>
      </c>
      <c r="G85" s="165">
        <v>631392.98</v>
      </c>
      <c r="H85" s="31">
        <f>IF($H$58=Lists!$D$8, IFERROR(F85-E85, ""), IF($H$58=Lists!$D$9, IFERROR(G85-E85, ""), IFERROR(G85-F85, "")))</f>
        <v>631393.98</v>
      </c>
      <c r="I85" s="115"/>
      <c r="J85" s="54"/>
    </row>
    <row r="86" spans="1:10" x14ac:dyDescent="0.35">
      <c r="A86" s="53"/>
      <c r="B86" s="15" t="s">
        <v>67</v>
      </c>
      <c r="D86" s="16"/>
      <c r="E86" s="108"/>
      <c r="F86" s="165">
        <v>0</v>
      </c>
      <c r="G86" s="166">
        <v>498170.82</v>
      </c>
      <c r="H86" s="30">
        <f>IF($H$58=Lists!$D$8, IFERROR(F86-E86, ""), IF($H$58=Lists!$D$9, IFERROR(G86-E86, ""), IFERROR(G86-F86, "")))</f>
        <v>498170.82</v>
      </c>
      <c r="I86" s="109"/>
      <c r="J86" s="54"/>
    </row>
    <row r="87" spans="1:10" x14ac:dyDescent="0.35">
      <c r="A87" s="53"/>
      <c r="B87" s="18"/>
      <c r="C87" s="155"/>
      <c r="D87" s="124" t="s">
        <v>68</v>
      </c>
      <c r="E87" s="32">
        <f>SUM(E81:E86)</f>
        <v>0</v>
      </c>
      <c r="F87" s="32">
        <f>SUM(F81:F86)</f>
        <v>2000048</v>
      </c>
      <c r="G87" s="32">
        <f>SUM(G81:G86)</f>
        <v>4642050.3499999996</v>
      </c>
      <c r="H87" s="33">
        <f>IF($H$58=Lists!$D$8, IFERROR(F87-E87, ""), IF($H$58=Lists!$D$9, IFERROR(G87-E87, ""), IFERROR(G87-F87, "")))</f>
        <v>2642002.3499999996</v>
      </c>
      <c r="I87" s="80"/>
      <c r="J87" s="54"/>
    </row>
    <row r="88" spans="1:10" ht="10" customHeight="1" x14ac:dyDescent="0.35">
      <c r="A88" s="53"/>
      <c r="J88" s="54"/>
    </row>
    <row r="89" spans="1:10" x14ac:dyDescent="0.35">
      <c r="A89" s="53"/>
      <c r="B89" s="139" t="s">
        <v>69</v>
      </c>
      <c r="C89" s="140"/>
      <c r="D89" s="140"/>
      <c r="E89" s="140"/>
      <c r="F89" s="140"/>
      <c r="G89" s="140"/>
      <c r="H89" s="140"/>
      <c r="I89" s="141"/>
      <c r="J89" s="54"/>
    </row>
    <row r="90" spans="1:10" ht="14.5" customHeight="1" x14ac:dyDescent="0.35">
      <c r="A90" s="53"/>
      <c r="B90" s="12" t="s">
        <v>70</v>
      </c>
      <c r="C90" s="13"/>
      <c r="D90" s="14"/>
      <c r="E90" s="108"/>
      <c r="F90" s="165">
        <v>310651</v>
      </c>
      <c r="G90" s="166">
        <v>1254889</v>
      </c>
      <c r="H90" s="34">
        <f>IF($H$58=Lists!$D$8, IFERROR(F90-E90, ""), IF($H$58=Lists!$D$9, IFERROR(G90-E90, ""), IFERROR(G90-F90, "")))</f>
        <v>944238</v>
      </c>
      <c r="I90" s="115"/>
      <c r="J90" s="54"/>
    </row>
    <row r="91" spans="1:10" x14ac:dyDescent="0.35">
      <c r="A91" s="53"/>
      <c r="B91" s="15" t="s">
        <v>71</v>
      </c>
      <c r="D91" s="16"/>
      <c r="E91" s="108"/>
      <c r="F91" s="165">
        <v>5228247</v>
      </c>
      <c r="G91" s="166">
        <v>5594190.8399999999</v>
      </c>
      <c r="H91" s="34">
        <f>IF($H$58=Lists!$D$8, IFERROR(F91-E91, ""), IF($H$58=Lists!$D$9, IFERROR(G91-E91, ""), IFERROR(G91-F91, "")))</f>
        <v>365943.83999999985</v>
      </c>
      <c r="I91" s="109"/>
      <c r="J91" s="54"/>
    </row>
    <row r="92" spans="1:10" x14ac:dyDescent="0.35">
      <c r="A92" s="53"/>
      <c r="B92" s="15" t="s">
        <v>72</v>
      </c>
      <c r="D92" s="16"/>
      <c r="E92" s="108"/>
      <c r="F92" s="165">
        <v>12974576</v>
      </c>
      <c r="G92" s="165">
        <v>12141229.300000001</v>
      </c>
      <c r="H92" s="35">
        <f>IF($H$58=Lists!$D$8, IFERROR(F92-E92, ""), IF($H$58=Lists!$D$9, IFERROR(G92-E92, ""), IFERROR(G92-F92, "")))</f>
        <v>-833346.69999999925</v>
      </c>
      <c r="I92" s="109"/>
      <c r="J92" s="54"/>
    </row>
    <row r="93" spans="1:10" x14ac:dyDescent="0.35">
      <c r="A93" s="53"/>
      <c r="B93" s="38"/>
      <c r="C93" s="1"/>
      <c r="D93" s="157" t="s">
        <v>73</v>
      </c>
      <c r="E93" s="158">
        <f>SUM(E90:E92)</f>
        <v>0</v>
      </c>
      <c r="F93" s="36">
        <f t="shared" ref="F93:G93" si="5">SUM(F90:F92)</f>
        <v>18513474</v>
      </c>
      <c r="G93" s="36">
        <f t="shared" si="5"/>
        <v>18990309.140000001</v>
      </c>
      <c r="H93" s="34">
        <f>IF($H$58=Lists!$D$8, IFERROR(F93-E93, ""), IF($H$58=Lists!$D$9, IFERROR(G93-E93, ""), IFERROR(G93-F93, "")))</f>
        <v>476835.1400000006</v>
      </c>
      <c r="I93" s="80"/>
      <c r="J93" s="54"/>
    </row>
    <row r="94" spans="1:10" x14ac:dyDescent="0.35">
      <c r="A94" s="53"/>
      <c r="B94" s="15" t="s">
        <v>74</v>
      </c>
      <c r="D94" s="16"/>
      <c r="E94" s="108"/>
      <c r="F94" s="165">
        <v>1303237</v>
      </c>
      <c r="G94" s="166">
        <v>1196264.32</v>
      </c>
      <c r="H94" s="34">
        <f>IF($H$58=Lists!$D$8, IFERROR(F94-E94, ""), IF($H$58=Lists!$D$9, IFERROR(G94-E94, ""), IFERROR(G94-F94, "")))</f>
        <v>-106972.67999999993</v>
      </c>
      <c r="I94" s="109"/>
      <c r="J94" s="54"/>
    </row>
    <row r="95" spans="1:10" x14ac:dyDescent="0.35">
      <c r="A95" s="53"/>
      <c r="B95" s="15" t="s">
        <v>75</v>
      </c>
      <c r="D95" s="16"/>
      <c r="E95" s="108"/>
      <c r="F95" s="165">
        <v>0</v>
      </c>
      <c r="G95" s="165"/>
      <c r="H95" s="34">
        <f>IF($H$58=Lists!$D$8, IFERROR(F95-E95, ""), IF($H$58=Lists!$D$9, IFERROR(G95-E95, ""), IFERROR(G95-F95, "")))</f>
        <v>0</v>
      </c>
      <c r="I95" s="109"/>
      <c r="J95" s="54"/>
    </row>
    <row r="96" spans="1:10" x14ac:dyDescent="0.35">
      <c r="A96" s="53"/>
      <c r="B96" s="15" t="s">
        <v>76</v>
      </c>
      <c r="D96" s="16"/>
      <c r="E96" s="108"/>
      <c r="F96" s="165">
        <v>2001488</v>
      </c>
      <c r="G96" s="165">
        <v>2284777.9300000002</v>
      </c>
      <c r="H96" s="34">
        <f>IF($H$58=Lists!$D$8, IFERROR(F96-E96, ""), IF($H$58=Lists!$D$9, IFERROR(G96-E96, ""), IFERROR(G96-F96, "")))</f>
        <v>283289.93000000017</v>
      </c>
      <c r="I96" s="109"/>
      <c r="J96" s="54"/>
    </row>
    <row r="97" spans="1:10" x14ac:dyDescent="0.35">
      <c r="A97" s="53"/>
      <c r="B97" s="15" t="str">
        <f>IF(C55=Lists!J3, "GCCM Costs", IF(C55=Lists!J4, "Design-Build Costs", ""))</f>
        <v>Design-Build Costs</v>
      </c>
      <c r="D97" s="16"/>
      <c r="E97" s="108"/>
      <c r="F97" s="165"/>
      <c r="G97" s="165">
        <v>610116.5</v>
      </c>
      <c r="H97" s="34">
        <f>IF($H$58=Lists!$D$8, IFERROR(F97-E97, ""), IF($H$58=Lists!$D$9, IFERROR(G97-E97, ""), IFERROR(G97-F97, "")))</f>
        <v>610116.5</v>
      </c>
      <c r="I97" s="109"/>
      <c r="J97" s="54"/>
    </row>
    <row r="98" spans="1:10" x14ac:dyDescent="0.35">
      <c r="A98" s="53"/>
      <c r="B98" s="15" t="str">
        <f>IF(C55=Lists!J3, "GCCM Risk Contingency", "")</f>
        <v/>
      </c>
      <c r="D98" s="16"/>
      <c r="E98" s="108"/>
      <c r="F98" s="108"/>
      <c r="G98" s="108"/>
      <c r="H98" s="34">
        <f>IF($H$58=Lists!$D$8, IFERROR(F98-E98, ""), IF($H$58=Lists!$D$9, IFERROR(G98-E98, ""), IFERROR(G98-F98, "")))</f>
        <v>0</v>
      </c>
      <c r="I98" s="109"/>
      <c r="J98" s="54"/>
    </row>
    <row r="99" spans="1:10" x14ac:dyDescent="0.35">
      <c r="A99" s="53"/>
      <c r="B99" s="154"/>
      <c r="C99" s="155"/>
      <c r="D99" s="124" t="s">
        <v>77</v>
      </c>
      <c r="E99" s="158">
        <f>SUM(E93:E98)</f>
        <v>0</v>
      </c>
      <c r="F99" s="36">
        <f t="shared" ref="F99:G99" si="6">SUM(F93:F98)</f>
        <v>21818199</v>
      </c>
      <c r="G99" s="36">
        <f t="shared" si="6"/>
        <v>23081467.890000001</v>
      </c>
      <c r="H99" s="37">
        <f>IF($H$58=Lists!$D$8, IFERROR(F99-E99, ""), IF($H$58=Lists!$D$9, IFERROR(G99-E99, ""), IFERROR(G99-F99, "")))</f>
        <v>1263268.8900000006</v>
      </c>
      <c r="I99" s="72"/>
      <c r="J99" s="54"/>
    </row>
    <row r="100" spans="1:10" ht="10" customHeight="1" x14ac:dyDescent="0.35">
      <c r="A100" s="53"/>
      <c r="J100" s="54"/>
    </row>
    <row r="101" spans="1:10" x14ac:dyDescent="0.35">
      <c r="A101" s="53"/>
      <c r="B101" s="139" t="s">
        <v>78</v>
      </c>
      <c r="C101" s="140"/>
      <c r="D101" s="140"/>
      <c r="E101" s="140"/>
      <c r="F101" s="140"/>
      <c r="G101" s="140"/>
      <c r="H101" s="140"/>
      <c r="I101" s="141"/>
      <c r="J101" s="54"/>
    </row>
    <row r="102" spans="1:10" x14ac:dyDescent="0.35">
      <c r="A102" s="53"/>
      <c r="B102" s="38" t="s">
        <v>79</v>
      </c>
      <c r="D102" s="16"/>
      <c r="E102" s="110"/>
      <c r="F102" s="167">
        <v>1439227</v>
      </c>
      <c r="G102" s="168">
        <v>631478.99</v>
      </c>
      <c r="H102" s="39">
        <f>IF($H$58=Lists!$D$8, IFERROR(F102-E102, ""), IF($H$58=Lists!$D$9, IFERROR(G102-E102, ""), IFERROR(G102-F102, "")))</f>
        <v>-807748.01</v>
      </c>
      <c r="I102" s="111"/>
      <c r="J102" s="81"/>
    </row>
    <row r="103" spans="1:10" x14ac:dyDescent="0.35">
      <c r="A103" s="53"/>
      <c r="B103" s="38" t="s">
        <v>80</v>
      </c>
      <c r="D103" s="16"/>
      <c r="E103" s="110"/>
      <c r="F103" s="167">
        <v>87121</v>
      </c>
      <c r="G103" s="168">
        <v>15418</v>
      </c>
      <c r="H103" s="39">
        <f>IF($H$58=Lists!$D$8, IFERROR(F103-E103, ""), IF($H$58=Lists!$D$9, IFERROR(G103-E103, ""), IFERROR(G103-F103, "")))</f>
        <v>-71703</v>
      </c>
      <c r="I103" s="111"/>
      <c r="J103" s="81"/>
    </row>
    <row r="104" spans="1:10" x14ac:dyDescent="0.35">
      <c r="A104" s="53"/>
      <c r="B104" s="38" t="s">
        <v>81</v>
      </c>
      <c r="D104" s="16"/>
      <c r="E104" s="108"/>
      <c r="F104" s="165">
        <v>417546</v>
      </c>
      <c r="G104" s="166">
        <v>403606.25</v>
      </c>
      <c r="H104" s="40">
        <f>IF($H$58=Lists!$D$8, IFERROR(F104-E104, ""), IF($H$58=Lists!$D$9, IFERROR(G104-E104, ""), IFERROR(G104-F104, "")))</f>
        <v>-13939.75</v>
      </c>
      <c r="I104" s="115"/>
      <c r="J104" s="54"/>
    </row>
    <row r="105" spans="1:10" ht="43.5" x14ac:dyDescent="0.35">
      <c r="A105" s="53"/>
      <c r="B105" s="38" t="s">
        <v>82</v>
      </c>
      <c r="D105" s="16"/>
      <c r="E105" s="108"/>
      <c r="F105" s="165">
        <v>212296</v>
      </c>
      <c r="G105" s="169">
        <v>348837.93</v>
      </c>
      <c r="H105" s="41">
        <f>IF($H$58=Lists!$D$8, IFERROR(F105-E105, ""), IF($H$58=Lists!$D$9, IFERROR(G105-E105, ""), IFERROR(G105-F105, "")))</f>
        <v>136541.93</v>
      </c>
      <c r="I105" s="170" t="s">
        <v>202</v>
      </c>
      <c r="J105" s="81"/>
    </row>
    <row r="106" spans="1:10" ht="15" thickBot="1" x14ac:dyDescent="0.4">
      <c r="A106" s="53"/>
      <c r="B106" s="159"/>
      <c r="C106" s="60"/>
      <c r="D106" s="125" t="s">
        <v>83</v>
      </c>
      <c r="E106" s="42">
        <f>SUM(E102:E105)</f>
        <v>0</v>
      </c>
      <c r="F106" s="42">
        <f>SUM(F102:F105)</f>
        <v>2156190</v>
      </c>
      <c r="G106" s="42">
        <f>SUM(G102:G105)</f>
        <v>1399341.17</v>
      </c>
      <c r="H106" s="37">
        <f>IF($H$58=Lists!$D$8, IFERROR(F106-E106, ""), IF($H$58=Lists!$D$9, IFERROR(G106-E106, ""), IFERROR(G106-F106, "")))</f>
        <v>-756848.83000000007</v>
      </c>
      <c r="I106" s="82"/>
      <c r="J106" s="81"/>
    </row>
    <row r="107" spans="1:10" ht="19.5" thickTop="1" thickBot="1" x14ac:dyDescent="0.5">
      <c r="A107" s="53"/>
      <c r="B107" s="83" t="s">
        <v>84</v>
      </c>
      <c r="C107" s="84"/>
      <c r="D107" s="84"/>
      <c r="E107" s="85">
        <f>SUM(E78,E87,E99,E106)</f>
        <v>0</v>
      </c>
      <c r="F107" s="85">
        <f>SUM(F78,F87,F99,F106)</f>
        <v>25974437</v>
      </c>
      <c r="G107" s="85">
        <f>SUM(G78,G87,G99,G106)</f>
        <v>29122859.410000004</v>
      </c>
      <c r="H107" s="85">
        <f>SUM(H78,H87,H99,H106)</f>
        <v>3148422.41</v>
      </c>
      <c r="I107" s="86"/>
      <c r="J107" s="81"/>
    </row>
    <row r="108" spans="1:10" ht="10" customHeight="1" thickTop="1" x14ac:dyDescent="0.35">
      <c r="A108" s="53"/>
      <c r="B108" s="116"/>
      <c r="C108" s="116"/>
      <c r="D108" s="116"/>
      <c r="E108" s="43"/>
      <c r="F108" s="43"/>
      <c r="G108" s="43"/>
      <c r="H108" s="43"/>
      <c r="I108" s="113"/>
      <c r="J108" s="81"/>
    </row>
    <row r="109" spans="1:10" s="1" customFormat="1" x14ac:dyDescent="0.35">
      <c r="A109" s="56"/>
      <c r="B109" s="176" t="str">
        <f>IF(ReportType=Lists!$O$2, "", "Close-Out Information")</f>
        <v>Close-Out Information</v>
      </c>
      <c r="C109" s="177"/>
      <c r="D109" s="177"/>
      <c r="E109" s="177"/>
      <c r="F109" s="177"/>
      <c r="G109" s="177"/>
      <c r="H109" s="177"/>
      <c r="I109" s="178"/>
      <c r="J109" s="57"/>
    </row>
    <row r="110" spans="1:10" s="1" customFormat="1" x14ac:dyDescent="0.35">
      <c r="A110" s="56"/>
      <c r="B110" s="44"/>
      <c r="C110" s="186"/>
      <c r="D110" s="186"/>
      <c r="E110" s="186" t="str">
        <f>IF(ReportType=Lists!$O$2, "", "NOTES")</f>
        <v>NOTES</v>
      </c>
      <c r="F110" s="186"/>
      <c r="G110" s="186"/>
      <c r="H110" s="186"/>
      <c r="I110" s="187"/>
      <c r="J110" s="57"/>
    </row>
    <row r="111" spans="1:10" ht="15" customHeight="1" x14ac:dyDescent="0.35">
      <c r="A111" s="53"/>
      <c r="B111" s="71" t="str">
        <f>IF(ReportType=Lists!$O$2, "", "Number of Change Orders")</f>
        <v>Number of Change Orders</v>
      </c>
      <c r="C111" s="179">
        <v>41</v>
      </c>
      <c r="D111" s="180"/>
      <c r="E111" s="183"/>
      <c r="F111" s="184"/>
      <c r="G111" s="184"/>
      <c r="H111" s="184"/>
      <c r="I111" s="185"/>
      <c r="J111" s="54"/>
    </row>
    <row r="112" spans="1:10" ht="15" customHeight="1" x14ac:dyDescent="0.35">
      <c r="A112" s="53"/>
      <c r="B112" s="71" t="str">
        <f>IF(ReportType=Lists!$O$2, "", "Total Value of Change Orders")</f>
        <v>Total Value of Change Orders</v>
      </c>
      <c r="C112" s="188">
        <v>16478149.880000001</v>
      </c>
      <c r="D112" s="189"/>
      <c r="E112" s="118"/>
      <c r="F112" s="119"/>
      <c r="G112" s="119"/>
      <c r="H112" s="119"/>
      <c r="I112" s="120"/>
      <c r="J112" s="54"/>
    </row>
    <row r="113" spans="1:10" ht="15" customHeight="1" x14ac:dyDescent="0.35">
      <c r="A113" s="53"/>
      <c r="B113" s="71" t="str">
        <f>IF(ReportType=Lists!$O$2, "", "Outstanding Liabilities")</f>
        <v>Outstanding Liabilities</v>
      </c>
      <c r="C113" s="188"/>
      <c r="D113" s="189"/>
      <c r="E113" s="118"/>
      <c r="F113" s="119"/>
      <c r="G113" s="119"/>
      <c r="H113" s="119"/>
      <c r="I113" s="120"/>
      <c r="J113" s="54"/>
    </row>
    <row r="114" spans="1:10" x14ac:dyDescent="0.35">
      <c r="A114" s="53"/>
      <c r="B114" s="18" t="str">
        <f>IF(ReportType=Lists!$O$2, "", "Unsettled Claims")</f>
        <v>Unsettled Claims</v>
      </c>
      <c r="C114" s="181"/>
      <c r="D114" s="182"/>
      <c r="E114" s="183"/>
      <c r="F114" s="184"/>
      <c r="G114" s="184"/>
      <c r="H114" s="184"/>
      <c r="I114" s="185"/>
      <c r="J114" s="54"/>
    </row>
    <row r="115" spans="1:10" ht="10" customHeight="1" x14ac:dyDescent="0.35">
      <c r="A115" s="53"/>
      <c r="J115" s="54"/>
    </row>
    <row r="116" spans="1:10" ht="15" thickBot="1" x14ac:dyDescent="0.4">
      <c r="A116" s="53"/>
      <c r="B116" s="1" t="s">
        <v>85</v>
      </c>
      <c r="J116" s="54"/>
    </row>
    <row r="117" spans="1:10" ht="14.5" customHeight="1" x14ac:dyDescent="0.35">
      <c r="A117" s="53"/>
      <c r="B117" s="217" t="s">
        <v>206</v>
      </c>
      <c r="C117" s="209"/>
      <c r="D117" s="209"/>
      <c r="E117" s="209"/>
      <c r="F117" s="209"/>
      <c r="G117" s="209"/>
      <c r="H117" s="209"/>
      <c r="I117" s="210"/>
      <c r="J117" s="54"/>
    </row>
    <row r="118" spans="1:10" x14ac:dyDescent="0.35">
      <c r="A118" s="53"/>
      <c r="B118" s="211"/>
      <c r="C118" s="212"/>
      <c r="D118" s="212"/>
      <c r="E118" s="212"/>
      <c r="F118" s="212"/>
      <c r="G118" s="212"/>
      <c r="H118" s="212"/>
      <c r="I118" s="213"/>
      <c r="J118" s="54"/>
    </row>
    <row r="119" spans="1:10" x14ac:dyDescent="0.35">
      <c r="A119" s="53"/>
      <c r="B119" s="211"/>
      <c r="C119" s="212"/>
      <c r="D119" s="212"/>
      <c r="E119" s="212"/>
      <c r="F119" s="212"/>
      <c r="G119" s="212"/>
      <c r="H119" s="212"/>
      <c r="I119" s="213"/>
      <c r="J119" s="54"/>
    </row>
    <row r="120" spans="1:10" x14ac:dyDescent="0.35">
      <c r="A120" s="53"/>
      <c r="B120" s="211"/>
      <c r="C120" s="212"/>
      <c r="D120" s="212"/>
      <c r="E120" s="212"/>
      <c r="F120" s="212"/>
      <c r="G120" s="212"/>
      <c r="H120" s="212"/>
      <c r="I120" s="213"/>
      <c r="J120" s="54"/>
    </row>
    <row r="121" spans="1:10" x14ac:dyDescent="0.35">
      <c r="A121" s="53"/>
      <c r="B121" s="211"/>
      <c r="C121" s="212"/>
      <c r="D121" s="212"/>
      <c r="E121" s="212"/>
      <c r="F121" s="212"/>
      <c r="G121" s="212"/>
      <c r="H121" s="212"/>
      <c r="I121" s="213"/>
      <c r="J121" s="54"/>
    </row>
    <row r="122" spans="1:10" x14ac:dyDescent="0.35">
      <c r="A122" s="53"/>
      <c r="B122" s="211"/>
      <c r="C122" s="212"/>
      <c r="D122" s="212"/>
      <c r="E122" s="212"/>
      <c r="F122" s="212"/>
      <c r="G122" s="212"/>
      <c r="H122" s="212"/>
      <c r="I122" s="213"/>
      <c r="J122" s="54"/>
    </row>
    <row r="123" spans="1:10" x14ac:dyDescent="0.35">
      <c r="A123" s="53"/>
      <c r="B123" s="211"/>
      <c r="C123" s="212"/>
      <c r="D123" s="212"/>
      <c r="E123" s="212"/>
      <c r="F123" s="212"/>
      <c r="G123" s="212"/>
      <c r="H123" s="212"/>
      <c r="I123" s="213"/>
      <c r="J123" s="54"/>
    </row>
    <row r="124" spans="1:10" x14ac:dyDescent="0.35">
      <c r="A124" s="53"/>
      <c r="B124" s="211"/>
      <c r="C124" s="212"/>
      <c r="D124" s="212"/>
      <c r="E124" s="212"/>
      <c r="F124" s="212"/>
      <c r="G124" s="212"/>
      <c r="H124" s="212"/>
      <c r="I124" s="213"/>
      <c r="J124" s="54"/>
    </row>
    <row r="125" spans="1:10" x14ac:dyDescent="0.35">
      <c r="A125" s="53"/>
      <c r="B125" s="211"/>
      <c r="C125" s="212"/>
      <c r="D125" s="212"/>
      <c r="E125" s="212"/>
      <c r="F125" s="212"/>
      <c r="G125" s="212"/>
      <c r="H125" s="212"/>
      <c r="I125" s="213"/>
      <c r="J125" s="54"/>
    </row>
    <row r="126" spans="1:10" x14ac:dyDescent="0.35">
      <c r="A126" s="53"/>
      <c r="B126" s="211"/>
      <c r="C126" s="212"/>
      <c r="D126" s="212"/>
      <c r="E126" s="212"/>
      <c r="F126" s="212"/>
      <c r="G126" s="212"/>
      <c r="H126" s="212"/>
      <c r="I126" s="213"/>
      <c r="J126" s="54"/>
    </row>
    <row r="127" spans="1:10" x14ac:dyDescent="0.35">
      <c r="A127" s="53"/>
      <c r="B127" s="211"/>
      <c r="C127" s="212"/>
      <c r="D127" s="212"/>
      <c r="E127" s="212"/>
      <c r="F127" s="212"/>
      <c r="G127" s="212"/>
      <c r="H127" s="212"/>
      <c r="I127" s="213"/>
      <c r="J127" s="54"/>
    </row>
    <row r="128" spans="1:10" x14ac:dyDescent="0.35">
      <c r="A128" s="53"/>
      <c r="B128" s="211"/>
      <c r="C128" s="212"/>
      <c r="D128" s="212"/>
      <c r="E128" s="212"/>
      <c r="F128" s="212"/>
      <c r="G128" s="212"/>
      <c r="H128" s="212"/>
      <c r="I128" s="213"/>
      <c r="J128" s="54"/>
    </row>
    <row r="129" spans="1:10" x14ac:dyDescent="0.35">
      <c r="A129" s="53"/>
      <c r="B129" s="211"/>
      <c r="C129" s="212"/>
      <c r="D129" s="212"/>
      <c r="E129" s="212"/>
      <c r="F129" s="212"/>
      <c r="G129" s="212"/>
      <c r="H129" s="212"/>
      <c r="I129" s="213"/>
      <c r="J129" s="54"/>
    </row>
    <row r="130" spans="1:10" x14ac:dyDescent="0.35">
      <c r="A130" s="53"/>
      <c r="B130" s="211"/>
      <c r="C130" s="212"/>
      <c r="D130" s="212"/>
      <c r="E130" s="212"/>
      <c r="F130" s="212"/>
      <c r="G130" s="212"/>
      <c r="H130" s="212"/>
      <c r="I130" s="213"/>
      <c r="J130" s="54"/>
    </row>
    <row r="131" spans="1:10" x14ac:dyDescent="0.35">
      <c r="A131" s="53"/>
      <c r="B131" s="211"/>
      <c r="C131" s="212"/>
      <c r="D131" s="212"/>
      <c r="E131" s="212"/>
      <c r="F131" s="212"/>
      <c r="G131" s="212"/>
      <c r="H131" s="212"/>
      <c r="I131" s="213"/>
      <c r="J131" s="54"/>
    </row>
    <row r="132" spans="1:10" x14ac:dyDescent="0.35">
      <c r="A132" s="53"/>
      <c r="B132" s="211"/>
      <c r="C132" s="212"/>
      <c r="D132" s="212"/>
      <c r="E132" s="212"/>
      <c r="F132" s="212"/>
      <c r="G132" s="212"/>
      <c r="H132" s="212"/>
      <c r="I132" s="213"/>
      <c r="J132" s="54"/>
    </row>
    <row r="133" spans="1:10" x14ac:dyDescent="0.35">
      <c r="A133" s="53"/>
      <c r="B133" s="211"/>
      <c r="C133" s="212"/>
      <c r="D133" s="212"/>
      <c r="E133" s="212"/>
      <c r="F133" s="212"/>
      <c r="G133" s="212"/>
      <c r="H133" s="212"/>
      <c r="I133" s="213"/>
      <c r="J133" s="54"/>
    </row>
    <row r="134" spans="1:10" x14ac:dyDescent="0.35">
      <c r="A134" s="53"/>
      <c r="B134" s="211"/>
      <c r="C134" s="212"/>
      <c r="D134" s="212"/>
      <c r="E134" s="212"/>
      <c r="F134" s="212"/>
      <c r="G134" s="212"/>
      <c r="H134" s="212"/>
      <c r="I134" s="213"/>
      <c r="J134" s="54"/>
    </row>
    <row r="135" spans="1:10" x14ac:dyDescent="0.35">
      <c r="A135" s="53"/>
      <c r="B135" s="211"/>
      <c r="C135" s="212"/>
      <c r="D135" s="212"/>
      <c r="E135" s="212"/>
      <c r="F135" s="212"/>
      <c r="G135" s="212"/>
      <c r="H135" s="212"/>
      <c r="I135" s="213"/>
      <c r="J135" s="54"/>
    </row>
    <row r="136" spans="1:10" ht="15" thickBot="1" x14ac:dyDescent="0.4">
      <c r="A136" s="53"/>
      <c r="B136" s="214"/>
      <c r="C136" s="215"/>
      <c r="D136" s="215"/>
      <c r="E136" s="215"/>
      <c r="F136" s="215"/>
      <c r="G136" s="215"/>
      <c r="H136" s="215"/>
      <c r="I136" s="216"/>
      <c r="J136" s="54"/>
    </row>
    <row r="137" spans="1:10" ht="10" customHeight="1" thickBot="1" x14ac:dyDescent="0.4">
      <c r="A137" s="75"/>
      <c r="B137" s="59"/>
      <c r="C137" s="59"/>
      <c r="D137" s="59"/>
      <c r="E137" s="59"/>
      <c r="F137" s="59"/>
      <c r="G137" s="59"/>
      <c r="H137" s="59"/>
      <c r="I137" s="59"/>
      <c r="J137" s="77"/>
    </row>
  </sheetData>
  <sheetProtection formatCells="0" formatColumns="0" formatRows="0" insertRows="0" insertHyperlinks="0"/>
  <mergeCells count="22">
    <mergeCell ref="G53:H53"/>
    <mergeCell ref="G54:H54"/>
    <mergeCell ref="G55:H55"/>
    <mergeCell ref="E53:F53"/>
    <mergeCell ref="C53:D53"/>
    <mergeCell ref="C54:D54"/>
    <mergeCell ref="C55:D55"/>
    <mergeCell ref="C5:H5"/>
    <mergeCell ref="C7:H7"/>
    <mergeCell ref="C6:H6"/>
    <mergeCell ref="B109:I109"/>
    <mergeCell ref="C111:D111"/>
    <mergeCell ref="C114:D114"/>
    <mergeCell ref="E111:I111"/>
    <mergeCell ref="E114:I114"/>
    <mergeCell ref="C110:D110"/>
    <mergeCell ref="E110:I110"/>
    <mergeCell ref="C112:D112"/>
    <mergeCell ref="C113:D113"/>
    <mergeCell ref="C10:H10"/>
    <mergeCell ref="C11:H11"/>
    <mergeCell ref="C12:H12"/>
  </mergeCells>
  <conditionalFormatting sqref="A1:J30">
    <cfRule type="expression" dxfId="8" priority="15">
      <formula>CELL("PROTECT", A1)=0</formula>
    </cfRule>
  </conditionalFormatting>
  <conditionalFormatting sqref="A32:J77">
    <cfRule type="expression" dxfId="7" priority="8">
      <formula>CELL("PROTECT", A32)=0</formula>
    </cfRule>
  </conditionalFormatting>
  <conditionalFormatting sqref="A79:J86">
    <cfRule type="expression" dxfId="6" priority="7">
      <formula>CELL("PROTECT", A79)=0</formula>
    </cfRule>
  </conditionalFormatting>
  <conditionalFormatting sqref="A88:J101">
    <cfRule type="expression" dxfId="5" priority="5">
      <formula>CELL("PROTECT", A88)=0</formula>
    </cfRule>
  </conditionalFormatting>
  <conditionalFormatting sqref="A102:J105">
    <cfRule type="expression" dxfId="4" priority="2">
      <formula>CELL("PROTECT", A102)=0</formula>
    </cfRule>
  </conditionalFormatting>
  <conditionalFormatting sqref="A106:J111 A112:C113 E112:J113 A114:J116 A31:G31 J31 A78 C78:J78 A87 C87:J87">
    <cfRule type="expression" dxfId="3" priority="21">
      <formula>CELL("PROTECT", A31)=0</formula>
    </cfRule>
  </conditionalFormatting>
  <conditionalFormatting sqref="A117:J137">
    <cfRule type="expression" dxfId="2" priority="1">
      <formula>CELL("PROTECT", A117)=0</formula>
    </cfRule>
  </conditionalFormatting>
  <conditionalFormatting sqref="E97:I98">
    <cfRule type="expression" dxfId="0" priority="4">
      <formula>$B97=""</formula>
    </cfRule>
  </conditionalFormatting>
  <dataValidations count="1">
    <dataValidation type="list" allowBlank="1" showInputMessage="1" showErrorMessage="1" sqref="K65" xr:uid="{00000000-0002-0000-0100-000000000000}">
      <formula1>"PMoptions"</formula1>
    </dataValidation>
  </dataValidations>
  <hyperlinks>
    <hyperlink ref="C12" r:id="rId1" xr:uid="{2BAE312C-341F-47C3-B85E-A02295274C3A}"/>
  </hyperlinks>
  <pageMargins left="0.45" right="0.45" top="0.5" bottom="0.5" header="0.3" footer="0.3"/>
  <pageSetup scale="66" fitToHeight="2" orientation="portrait" r:id="rId2"/>
  <headerFooter>
    <oddFooter>&amp;C&amp;P</oddFooter>
  </headerFooter>
  <rowBreaks count="1" manualBreakCount="1">
    <brk id="73" max="9" man="1"/>
  </rowBreaks>
  <extLst>
    <ext xmlns:x14="http://schemas.microsoft.com/office/spreadsheetml/2009/9/main" uri="{78C0D931-6437-407d-A8EE-F0AAD7539E65}">
      <x14:conditionalFormattings>
        <x14:conditionalFormatting xmlns:xm="http://schemas.microsoft.com/office/excel/2006/main">
          <x14:cfRule type="expression" priority="19" id="{B9175676-CF21-48FE-9D3A-C33726FBC220}">
            <xm:f>ReportType=Lists!$O$2</xm:f>
            <x14:dxf>
              <font>
                <b val="0"/>
                <i val="0"/>
              </font>
              <numFmt numFmtId="0" formatCode="General"/>
              <fill>
                <patternFill patternType="none">
                  <bgColor auto="1"/>
                </patternFill>
              </fill>
              <border>
                <left/>
                <right/>
                <top/>
                <bottom/>
                <vertical/>
                <horizontal/>
              </border>
            </x14:dxf>
          </x14:cfRule>
          <xm:sqref>B109:I114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H58</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25C-5AC0-4F4E-A90F-54B94336F29D}">
  <dimension ref="A1:R1"/>
  <sheetViews>
    <sheetView showGridLines="0" topLeftCell="A15" workbookViewId="0">
      <selection activeCell="U39" sqref="U39"/>
    </sheetView>
  </sheetViews>
  <sheetFormatPr defaultColWidth="8.81640625" defaultRowHeight="14.5" x14ac:dyDescent="0.35"/>
  <sheetData>
    <row r="1" spans="1:18" ht="21" x14ac:dyDescent="0.5">
      <c r="A1" s="145" t="s">
        <v>86</v>
      </c>
      <c r="B1" s="146"/>
      <c r="C1" s="146"/>
      <c r="D1" s="146"/>
      <c r="E1" s="146"/>
      <c r="F1" s="146"/>
      <c r="G1" s="146"/>
      <c r="H1" s="146"/>
      <c r="I1" s="146"/>
      <c r="J1" s="146"/>
      <c r="K1" s="146"/>
      <c r="L1" s="146"/>
      <c r="M1" s="146"/>
      <c r="N1" s="146"/>
      <c r="O1" s="146"/>
      <c r="P1" s="146"/>
      <c r="Q1" s="146"/>
      <c r="R1" s="1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ColWidth="8.81640625"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f7448ec1-8ab6-4f9a-8489-c98098ffcc66"/>
    <ds:schemaRef ds:uri="http://schemas.openxmlformats.org/package/2006/metadata/core-properties"/>
    <ds:schemaRef ds:uri="0a795077-0e4c-4682-a147-8ec713ec5728"/>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40000516-pierce-fs-olympic-asbestos-dec2025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2025-12-22T18:55:56Z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