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8B0BF9DC-5EA8-43D2-BB61-BE741573E49A}"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1" i="3" l="1"/>
  <c r="E39" i="3" l="1"/>
  <c r="F83" i="3" l="1"/>
  <c r="F82" i="3"/>
  <c r="D38" i="3" l="1"/>
  <c r="F101" i="3" l="1"/>
  <c r="E82" i="3"/>
  <c r="E83" i="3" s="1"/>
  <c r="F81" i="3"/>
  <c r="E46"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<sst xmlns="http://schemas.openxmlformats.org/spreadsheetml/2006/main" count="246" uniqueCount="226">
  <si>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</si>
  <si>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</si>
  <si>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</si>
  <si>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</si>
  <si>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</si>
  <si>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</si>
  <si>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</si>
  <si>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</si>
  <si>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</si>
  <si>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</si>
  <si>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</si>
  <si>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</si>
  <si>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</si>
  <si>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</si>
  <si>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</si>
  <si>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</si>
  <si>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</si>
  <si>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</si>
  <si>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</si>
  <si>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</si>
  <si>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</si>
  <si>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</si>
  <si>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</si>
  <si>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</si>
  <si>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</si>
  <si>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</si>
  <si>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</si>
  <si>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</si>
  <si>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</si>
  <si>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</si>
  <si>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</si>
  <si>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</si>
  <si>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</si>
  <si>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</si>
  <si>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</si>
  <si>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</si>
  <si>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</si>
  <si>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</si>
  <si>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</si>
  <si>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</si>
  <si>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</si>
  <si>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</si>
  <si>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</si>
  <si>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</si>
  <si>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</si>
  <si>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</si>
  <si>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</si>
  <si>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</si>
  <si>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</si>
  <si>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</si>
  <si>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</si>
  <si>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</si>
  <si>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</si>
  <si>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</si>
  <si>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</si>
  <si>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</si>
  <si>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</si>
  <si>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</si>
  <si>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</si>
  <si>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</si>
  <si>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</si>
  <si>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</si>
  <si>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</si>
  <si>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</si>
  <si>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</si>
  <si>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</si>
  <si>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</si>
  <si>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</si>
  <si>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</si>
  <si>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</si>
  <si>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</si>
  <si>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</si>
  <si>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</si>
  <si>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</si>
  <si>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</si>
  <si>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</si>
  <si>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</si>
  <si>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</si>
  <si>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</si>
  <si>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</si>
  <si>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</si>
  <si>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</si>
  <si>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</si>
  <si>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</si>
  <si>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</si>
  <si>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</si>
  <si>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</si>
  <si>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</si>
  <si>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</si>
  <si>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</si>
  <si>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</si>
  <si>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</si>
  <si>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</si>
  <si>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</si>
  <si>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</si>
  <si>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</si>
  <si>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</si>
  <si>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</si>
  <si>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</si>
  <si>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</si>
  <si>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</si>
  <si>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</si>
  <si>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</si>
  <si>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</si>
  <si>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</si>
  <si>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</si>
  <si>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</si>
  <si>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</si>
  <si>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</si>
  <si>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</si>
  <si>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</si>
  <si>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</si>
  <si>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</si>
  <si>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</si>
  <si>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</si>
  <si>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</si>
  <si>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</si>
  <si>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</si>
  <si>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</si>
  <si>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</si>
  <si>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</si>
  <si>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</si>
  <si>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</si>
  <si>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</si>
  <si>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</si>
  <si>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</si>
  <si>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</si>
  <si>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</si>
  <si>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</si>
  <si>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</si>
  <si>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</si>
  <si>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</si>
  <si>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</si>
  <si>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</si>
  <si>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</si>
  <si>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</si>
  <si>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</si>
  <si>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</si>
  <si>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</si>
  <si>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</si>
  <si>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</si>
  <si>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</si>
  <si>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</si>
  <si>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</si>
  <si>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</si>
  <si>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</si>
  <si>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</si>
  <si>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</si>
  <si>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</si>
  <si>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</si>
  <si>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</si>
  <si>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</si>
  <si>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</si>
  <si>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</si>
  <si>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</si>
  <si>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</si>
  <si>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</si>
  <si>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</si>
  <si>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</si>
  <si>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</si>
  <si>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</si>
  <si>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</si>
  <si>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</si>
  <si>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</si>
  <si>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</si>
  <si>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</si>
  <si>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</si>
  <si>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</si>
  <si>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</si>
  <si>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</si>
  <si>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</si>
  <si>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</si>
  <si>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</si>
  <si>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</si>
  <si>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</si>
  <si>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</si>
  <si>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</si>
  <si>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</si>
  <si>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</si>
  <si>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</si>
  <si>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</si>
  <si>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</si>
  <si>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</si>
  <si>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</si>
  <si>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</si>
  <si>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</si>
  <si>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</si>
  <si>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</si>
  <si>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</si>
  <si>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</si>
  <si>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</si>
  <si>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</si>
  <si>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</si>
  <si>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</si>
  <si>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</si>
  <si>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</si>
  <si>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</si>
  <si>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</si>
  <si>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</si>
  <si>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</si>
  <si>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</si>
  <si>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</si>
  <si>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</si>
  <si>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</si>
  <si>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</si>
  <si>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</si>
  <si>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</si>
  <si>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</si>
  <si>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</si>
  <si>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</si>
  <si>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</si>
  <si>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Lake Washington Institute of Technology Center for Design</t>
  </si>
  <si>
    <t>The Center for Design will be a two-story structure located on the grounds immediately next to LWTech's main entrance. Its purpose will be to meet industry demand for skilled professionals who will succeed in today's collaborative design, engineering and information technology work environments. Principle instruction spaces will be for Design, Information Technology, Art, and Engineering programs.</t>
  </si>
  <si>
    <t>A07</t>
  </si>
  <si>
    <t>D00</t>
  </si>
  <si>
    <t>147 - Local Funds</t>
  </si>
  <si>
    <t>R538</t>
  </si>
  <si>
    <t>OFM approved</t>
  </si>
  <si>
    <t>057  - State Bldg. Const Acct</t>
  </si>
  <si>
    <t>% of Bldg. Area that is being remodeled</t>
  </si>
  <si>
    <t>Wa Arts Commission: Dec. 2024: James Madison was the artist selected as the finalist and art is in design.</t>
  </si>
  <si>
    <t>June 2025</t>
  </si>
  <si>
    <t>Chris McLain</t>
  </si>
  <si>
    <t>chris.mclain@lwtech.edu</t>
  </si>
  <si>
    <t xml:space="preserve">As of 6/13/25, the steel erection went as planned and was completed within a month after starting this task. All major construction is still on schedule with the building envelope being slated for completion in July. All other trades such as electrical and mechanical continue to progress per the schedule as well. No major obstacles to report at this time. Next major activity for the college is a power shut down of the entire campus. Power shut down of the campus is slated for September but that timeframe is contingent on the electrical contractor having all the required material on hand. </t>
  </si>
  <si>
    <t>425.739.8138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</si>
</sst>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164906</xdr:rowOff>
    </xdr:from>
    <xdr:to>
      <xdr:col>7</xdr:col>
      <xdr:colOff>237259</xdr:colOff>
      <xdr:row>18</xdr:row>
      <xdr:rowOff>75122</xdr:rowOff>
    </xdr:to>
    <xdr:pic>
      <xdr:nvPicPr>
        <xdr:cNvPr id="2" name="Picture 1" descr="Blue Outline to the right Depicts Area of New Construction&#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00075" y="1231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419100</xdr:colOff>
      <xdr:row>19</xdr:row>
      <xdr:rowOff>28575</xdr:rowOff>
    </xdr:from>
    <xdr:to>
      <xdr:col>7</xdr:col>
      <xdr:colOff>514349</xdr:colOff>
      <xdr:row>20</xdr:row>
      <xdr:rowOff>73025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19100" y="341947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Blue Outline to the right Depicts Area of New Construction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164906</xdr:rowOff>
    </xdr:from>
    <xdr:to>
      <xdr:col>16</xdr:col>
      <xdr:colOff>237259</xdr:colOff>
      <xdr:row>18</xdr:row>
      <xdr:rowOff>75122</xdr:rowOff>
    </xdr:to>
    <xdr:pic>
      <xdr:nvPicPr>
        <xdr:cNvPr id="17" name="Picture 16" descr="Area of Construction After Tree Removal&#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886450" y="1231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18</xdr:row>
      <xdr:rowOff>142875</xdr:rowOff>
    </xdr:from>
    <xdr:to>
      <xdr:col>16</xdr:col>
      <xdr:colOff>495299</xdr:colOff>
      <xdr:row>20</xdr:row>
      <xdr:rowOff>6350</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5934075" y="335280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Area of Construction</a:t>
          </a:r>
          <a:r>
            <a:rPr lang="en-US" sz="1100" b="1" baseline="0">
              <a:solidFill>
                <a:schemeClr val="bg1"/>
              </a:solidFill>
            </a:rPr>
            <a:t> After Tree Removal</a:t>
          </a:r>
        </a:p>
        <a:p>
          <a:pPr algn="ctr"/>
          <a:endParaRPr lang="en-US" sz="1100" b="1">
            <a:solidFill>
              <a:schemeClr val="bg1"/>
            </a:solidFill>
          </a:endParaRPr>
        </a:p>
      </xdr:txBody>
    </xdr:sp>
    <xdr:clientData fLocksWithSheet="0"/>
  </xdr:twoCellAnchor>
  <xdr:twoCellAnchor>
    <xdr:from>
      <xdr:col>0</xdr:col>
      <xdr:colOff>600075</xdr:colOff>
      <xdr:row>27</xdr:row>
      <xdr:rowOff>164906</xdr:rowOff>
    </xdr:from>
    <xdr:to>
      <xdr:col>7</xdr:col>
      <xdr:colOff>237259</xdr:colOff>
      <xdr:row>39</xdr:row>
      <xdr:rowOff>75122</xdr:rowOff>
    </xdr:to>
    <xdr:pic>
      <xdr:nvPicPr>
        <xdr:cNvPr id="19" name="Picture 18" descr="Overhead Shot of Area of Construction&#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600075" y="5232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390525</xdr:colOff>
      <xdr:row>39</xdr:row>
      <xdr:rowOff>142875</xdr:rowOff>
    </xdr:from>
    <xdr:to>
      <xdr:col>7</xdr:col>
      <xdr:colOff>485774</xdr:colOff>
      <xdr:row>41</xdr:row>
      <xdr:rowOff>6350</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390525" y="715327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Overhead Shot of Area of Construction</a:t>
          </a:r>
          <a:endParaRPr lang="en-US" sz="1100" b="1">
            <a:solidFill>
              <a:schemeClr val="bg1"/>
            </a:solidFill>
          </a:endParaRPr>
        </a:p>
      </xdr:txBody>
    </xdr:sp>
    <xdr:clientData fLocksWithSheet="0"/>
  </xdr:twoCellAnchor>
  <xdr:twoCellAnchor>
    <xdr:from>
      <xdr:col>9</xdr:col>
      <xdr:colOff>600075</xdr:colOff>
      <xdr:row>27</xdr:row>
      <xdr:rowOff>164906</xdr:rowOff>
    </xdr:from>
    <xdr:to>
      <xdr:col>16</xdr:col>
      <xdr:colOff>237259</xdr:colOff>
      <xdr:row>39</xdr:row>
      <xdr:rowOff>75122</xdr:rowOff>
    </xdr:to>
    <xdr:pic>
      <xdr:nvPicPr>
        <xdr:cNvPr id="21" name="Picture 20" descr="Ground Breaking Ceremony Day&#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886450" y="5232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409575</xdr:colOff>
      <xdr:row>40</xdr:row>
      <xdr:rowOff>0</xdr:rowOff>
    </xdr:from>
    <xdr:to>
      <xdr:col>16</xdr:col>
      <xdr:colOff>504824</xdr:colOff>
      <xdr:row>41</xdr:row>
      <xdr:rowOff>44450</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943600" y="719137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Ground Breaking Ceremony Day</a:t>
          </a:r>
        </a:p>
        <a:p>
          <a:pPr algn="ctr"/>
          <a:endParaRPr lang="en-US" sz="1100" b="1">
            <a:solidFill>
              <a:schemeClr val="bg1"/>
            </a:solidFill>
          </a:endParaRPr>
        </a:p>
      </xdr:txBody>
    </xdr:sp>
    <xdr:clientData fLocksWithSheet="0"/>
  </xdr:twoCellAnchor>
  <xdr:twoCellAnchor>
    <xdr:from>
      <xdr:col>0</xdr:col>
      <xdr:colOff>600075</xdr:colOff>
      <xdr:row>48</xdr:row>
      <xdr:rowOff>164906</xdr:rowOff>
    </xdr:from>
    <xdr:to>
      <xdr:col>7</xdr:col>
      <xdr:colOff>237259</xdr:colOff>
      <xdr:row>60</xdr:row>
      <xdr:rowOff>75122</xdr:rowOff>
    </xdr:to>
    <xdr:pic>
      <xdr:nvPicPr>
        <xdr:cNvPr id="23" name="Picture 22" descr="Great Turnout for the Ground Breaking Ceremony&#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600075" y="9232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409575</xdr:colOff>
      <xdr:row>61</xdr:row>
      <xdr:rowOff>28575</xdr:rowOff>
    </xdr:from>
    <xdr:to>
      <xdr:col>7</xdr:col>
      <xdr:colOff>504824</xdr:colOff>
      <xdr:row>62</xdr:row>
      <xdr:rowOff>73025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9575" y="1102042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Great Turnout for the Ground Breaking</a:t>
          </a:r>
          <a:r>
            <a:rPr lang="en-US" sz="1100" b="1" baseline="0">
              <a:solidFill>
                <a:schemeClr val="bg1"/>
              </a:solidFill>
            </a:rPr>
            <a:t> Ceremony</a:t>
          </a:r>
        </a:p>
        <a:p>
          <a:pPr algn="ctr"/>
          <a:endParaRPr lang="en-US" sz="1100" b="1">
            <a:solidFill>
              <a:schemeClr val="bg1"/>
            </a:solidFill>
          </a:endParaRPr>
        </a:p>
      </xdr:txBody>
    </xdr:sp>
    <xdr:clientData fLocksWithSheet="0"/>
  </xdr:twoCellAnchor>
  <xdr:twoCellAnchor>
    <xdr:from>
      <xdr:col>9</xdr:col>
      <xdr:colOff>600075</xdr:colOff>
      <xdr:row>48</xdr:row>
      <xdr:rowOff>164906</xdr:rowOff>
    </xdr:from>
    <xdr:to>
      <xdr:col>16</xdr:col>
      <xdr:colOff>237259</xdr:colOff>
      <xdr:row>60</xdr:row>
      <xdr:rowOff>75122</xdr:rowOff>
    </xdr:to>
    <xdr:pic>
      <xdr:nvPicPr>
        <xdr:cNvPr id="25" name="Picture 24" descr="First Concrete Pour &#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5886450" y="9232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390525</xdr:colOff>
      <xdr:row>61</xdr:row>
      <xdr:rowOff>0</xdr:rowOff>
    </xdr:from>
    <xdr:to>
      <xdr:col>16</xdr:col>
      <xdr:colOff>485774</xdr:colOff>
      <xdr:row>62</xdr:row>
      <xdr:rowOff>44450</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924550" y="1099185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Concrete Pour </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70</xdr:row>
      <xdr:rowOff>169091</xdr:rowOff>
    </xdr:from>
    <xdr:to>
      <xdr:col>7</xdr:col>
      <xdr:colOff>237259</xdr:colOff>
      <xdr:row>80</xdr:row>
      <xdr:rowOff>70937</xdr:rowOff>
    </xdr:to>
    <xdr:pic>
      <xdr:nvPicPr>
        <xdr:cNvPr id="27" name="Picture 26" descr="Outline of First Concrete Pour on Plan Drawing&#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600075" y="13427891"/>
          <a:ext cx="3904384"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333375</xdr:colOff>
      <xdr:row>80</xdr:row>
      <xdr:rowOff>142875</xdr:rowOff>
    </xdr:from>
    <xdr:to>
      <xdr:col>7</xdr:col>
      <xdr:colOff>428624</xdr:colOff>
      <xdr:row>82</xdr:row>
      <xdr:rowOff>6350</xdr:rowOff>
    </xdr:to>
    <xdr:sp macro="" textlink="" fLocksText="0">
      <xdr:nvSpPr>
        <xdr:cNvPr id="28" name="TextBox 27" descr="Outline of First Concrete Pour on Plan Drawing&#10;">
          <a:extLst>
            <a:ext uri="{FF2B5EF4-FFF2-40B4-BE49-F238E27FC236}">
              <a16:creationId xmlns:a16="http://schemas.microsoft.com/office/drawing/2014/main" id="{00000000-0008-0000-0200-00001C000000}"/>
            </a:ext>
          </a:extLst>
        </xdr:cNvPr>
        <xdr:cNvSpPr txBox="1"/>
      </xdr:nvSpPr>
      <xdr:spPr>
        <a:xfrm>
          <a:off x="333375" y="1457325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First Concrete</a:t>
          </a:r>
          <a:r>
            <a:rPr lang="en-US" sz="1100" b="1" baseline="0">
              <a:solidFill>
                <a:schemeClr val="bg1"/>
              </a:solidFill>
            </a:rPr>
            <a:t> Pour on Plan Drawing</a:t>
          </a:r>
        </a:p>
        <a:p>
          <a:pPr algn="ctr"/>
          <a:endParaRPr lang="en-US" sz="1100" b="1">
            <a:solidFill>
              <a:schemeClr val="bg1"/>
            </a:solidFill>
          </a:endParaRPr>
        </a:p>
      </xdr:txBody>
    </xdr:sp>
    <xdr:clientData fLocksWithSheet="0"/>
  </xdr:twoCellAnchor>
  <xdr:twoCellAnchor>
    <xdr:from>
      <xdr:col>9</xdr:col>
      <xdr:colOff>600075</xdr:colOff>
      <xdr:row>69</xdr:row>
      <xdr:rowOff>164906</xdr:rowOff>
    </xdr:from>
    <xdr:to>
      <xdr:col>16</xdr:col>
      <xdr:colOff>237259</xdr:colOff>
      <xdr:row>81</xdr:row>
      <xdr:rowOff>75122</xdr:rowOff>
    </xdr:to>
    <xdr:pic>
      <xdr:nvPicPr>
        <xdr:cNvPr id="29" name="Picture 28" descr="Overhead Shot of First Concrete Pour&#10;">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5886450" y="13233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82</xdr:row>
      <xdr:rowOff>38100</xdr:rowOff>
    </xdr:from>
    <xdr:to>
      <xdr:col>16</xdr:col>
      <xdr:colOff>495299</xdr:colOff>
      <xdr:row>83</xdr:row>
      <xdr:rowOff>82550</xdr:rowOff>
    </xdr:to>
    <xdr:sp macro="" textlink="" fLocksText="0">
      <xdr:nvSpPr>
        <xdr:cNvPr id="30" name="TextBox 29" descr="Overhead Shot of First Concrete Pour&#10;">
          <a:extLst>
            <a:ext uri="{FF2B5EF4-FFF2-40B4-BE49-F238E27FC236}">
              <a16:creationId xmlns:a16="http://schemas.microsoft.com/office/drawing/2014/main" id="{00000000-0008-0000-0200-00001E000000}"/>
            </a:ext>
          </a:extLst>
        </xdr:cNvPr>
        <xdr:cNvSpPr txBox="1"/>
      </xdr:nvSpPr>
      <xdr:spPr>
        <a:xfrm>
          <a:off x="5934075" y="1483042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Shot of First Concrete Pour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355632</xdr:colOff>
      <xdr:row>89</xdr:row>
      <xdr:rowOff>64316</xdr:rowOff>
    </xdr:from>
    <xdr:to>
      <xdr:col>6</xdr:col>
      <xdr:colOff>519802</xdr:colOff>
      <xdr:row>98</xdr:row>
      <xdr:rowOff>156662</xdr:rowOff>
    </xdr:to>
    <xdr:pic>
      <xdr:nvPicPr>
        <xdr:cNvPr id="3" name="Picture 2" descr="Outline of Entire Footprint&#10;">
          <a:extLst>
            <a:ext uri="{FF2B5EF4-FFF2-40B4-BE49-F238E27FC236}">
              <a16:creationId xmlns:a16="http://schemas.microsoft.com/office/drawing/2014/main" id="{C13B9C72-DD33-64C7-9F2C-34FBC7F9867A}"/>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965232" y="16942616"/>
          <a:ext cx="3212170"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615951</xdr:colOff>
      <xdr:row>99</xdr:row>
      <xdr:rowOff>123825</xdr:rowOff>
    </xdr:from>
    <xdr:to>
      <xdr:col>7</xdr:col>
      <xdr:colOff>200026</xdr:colOff>
      <xdr:row>100</xdr:row>
      <xdr:rowOff>142875</xdr:rowOff>
    </xdr:to>
    <xdr:sp macro="" textlink="" fLocksText="0">
      <xdr:nvSpPr>
        <xdr:cNvPr id="4" name="TextBox 3" descr="Outline of Entire Footprint&#10;">
          <a:extLst>
            <a:ext uri="{FF2B5EF4-FFF2-40B4-BE49-F238E27FC236}">
              <a16:creationId xmlns:a16="http://schemas.microsoft.com/office/drawing/2014/main" id="{CC4B1166-088C-23DF-583D-6805D6045038}"/>
            </a:ext>
          </a:extLst>
        </xdr:cNvPr>
        <xdr:cNvSpPr txBox="1"/>
      </xdr:nvSpPr>
      <xdr:spPr>
        <a:xfrm>
          <a:off x="615951" y="17992725"/>
          <a:ext cx="4051300" cy="200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Entire Footprint</a:t>
          </a:r>
        </a:p>
      </xdr:txBody>
    </xdr:sp>
    <xdr:clientData fLocksWithSheet="0"/>
  </xdr:twoCellAnchor>
  <xdr:twoCellAnchor>
    <xdr:from>
      <xdr:col>10</xdr:col>
      <xdr:colOff>374682</xdr:colOff>
      <xdr:row>89</xdr:row>
      <xdr:rowOff>121466</xdr:rowOff>
    </xdr:from>
    <xdr:to>
      <xdr:col>15</xdr:col>
      <xdr:colOff>538852</xdr:colOff>
      <xdr:row>99</xdr:row>
      <xdr:rowOff>23311</xdr:rowOff>
    </xdr:to>
    <xdr:pic>
      <xdr:nvPicPr>
        <xdr:cNvPr id="6" name="Picture 5" descr="First SOG Contrete Pour&#10;">
          <a:extLst>
            <a:ext uri="{FF2B5EF4-FFF2-40B4-BE49-F238E27FC236}">
              <a16:creationId xmlns:a16="http://schemas.microsoft.com/office/drawing/2014/main" id="{C2DB8FF8-4B8B-649A-17AA-2E7B206B51B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6270657" y="16999766"/>
          <a:ext cx="3212170"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606425</xdr:colOff>
      <xdr:row>100</xdr:row>
      <xdr:rowOff>6350</xdr:rowOff>
    </xdr:from>
    <xdr:to>
      <xdr:col>16</xdr:col>
      <xdr:colOff>161925</xdr:colOff>
      <xdr:row>101</xdr:row>
      <xdr:rowOff>28575</xdr:rowOff>
    </xdr:to>
    <xdr:sp macro="" textlink="" fLocksText="0">
      <xdr:nvSpPr>
        <xdr:cNvPr id="7" name="TextBox 6" descr="First SOG Contrete Pour&#10;">
          <a:extLst>
            <a:ext uri="{FF2B5EF4-FFF2-40B4-BE49-F238E27FC236}">
              <a16:creationId xmlns:a16="http://schemas.microsoft.com/office/drawing/2014/main" id="{A55893CA-2B8F-AECF-554F-9F38B0E0C232}"/>
            </a:ext>
          </a:extLst>
        </xdr:cNvPr>
        <xdr:cNvSpPr txBox="1"/>
      </xdr:nvSpPr>
      <xdr:spPr>
        <a:xfrm>
          <a:off x="6140450" y="18056225"/>
          <a:ext cx="4022725" cy="2032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SOG Contrete Pour</a:t>
          </a:r>
        </a:p>
      </xdr:txBody>
    </xdr:sp>
    <xdr:clientData fLocksWithSheet="0"/>
  </xdr:twoCellAnchor>
  <xdr:twoCellAnchor>
    <xdr:from>
      <xdr:col>1</xdr:col>
      <xdr:colOff>317533</xdr:colOff>
      <xdr:row>107</xdr:row>
      <xdr:rowOff>188141</xdr:rowOff>
    </xdr:from>
    <xdr:to>
      <xdr:col>6</xdr:col>
      <xdr:colOff>481701</xdr:colOff>
      <xdr:row>117</xdr:row>
      <xdr:rowOff>89986</xdr:rowOff>
    </xdr:to>
    <xdr:pic>
      <xdr:nvPicPr>
        <xdr:cNvPr id="8" name="Picture 7" descr="Second SOG Contrete Pour &amp; Vapor Barrier Installation&#10;">
          <a:extLst>
            <a:ext uri="{FF2B5EF4-FFF2-40B4-BE49-F238E27FC236}">
              <a16:creationId xmlns:a16="http://schemas.microsoft.com/office/drawing/2014/main" id="{2005BCF0-0822-B222-BA5C-9E650C766F1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927133" y="20495441"/>
          <a:ext cx="3212168" cy="180684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552450</xdr:colOff>
      <xdr:row>118</xdr:row>
      <xdr:rowOff>76200</xdr:rowOff>
    </xdr:from>
    <xdr:to>
      <xdr:col>7</xdr:col>
      <xdr:colOff>57150</xdr:colOff>
      <xdr:row>119</xdr:row>
      <xdr:rowOff>123825</xdr:rowOff>
    </xdr:to>
    <xdr:sp macro="" textlink="" fLocksText="0">
      <xdr:nvSpPr>
        <xdr:cNvPr id="9" name="TextBox 8" descr="Second SOG Contrete Pour &amp; Vapor Barrier Installation&#10;">
          <a:extLst>
            <a:ext uri="{FF2B5EF4-FFF2-40B4-BE49-F238E27FC236}">
              <a16:creationId xmlns:a16="http://schemas.microsoft.com/office/drawing/2014/main" id="{78C2843F-046A-5743-51F6-AC94233A1F66}"/>
            </a:ext>
          </a:extLst>
        </xdr:cNvPr>
        <xdr:cNvSpPr txBox="1"/>
      </xdr:nvSpPr>
      <xdr:spPr>
        <a:xfrm>
          <a:off x="552450" y="21383625"/>
          <a:ext cx="3971925"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a:t>
          </a:r>
          <a:r>
            <a:rPr lang="en-US" sz="1100" b="1">
              <a:solidFill>
                <a:schemeClr val="bg1"/>
              </a:solidFill>
            </a:rPr>
            <a:t>SOG Contrete Pour &amp; Vapor Barrier Installation</a:t>
          </a:r>
        </a:p>
      </xdr:txBody>
    </xdr:sp>
    <xdr:clientData fLocksWithSheet="0"/>
  </xdr:twoCellAnchor>
  <xdr:twoCellAnchor>
    <xdr:from>
      <xdr:col>10</xdr:col>
      <xdr:colOff>431833</xdr:colOff>
      <xdr:row>108</xdr:row>
      <xdr:rowOff>16691</xdr:rowOff>
    </xdr:from>
    <xdr:to>
      <xdr:col>15</xdr:col>
      <xdr:colOff>596001</xdr:colOff>
      <xdr:row>117</xdr:row>
      <xdr:rowOff>109035</xdr:rowOff>
    </xdr:to>
    <xdr:pic>
      <xdr:nvPicPr>
        <xdr:cNvPr id="10" name="Picture 9" descr="Final SOG Contrete Pour&#10;">
          <a:extLst>
            <a:ext uri="{FF2B5EF4-FFF2-40B4-BE49-F238E27FC236}">
              <a16:creationId xmlns:a16="http://schemas.microsoft.com/office/drawing/2014/main" id="{14E4278F-6311-C828-D763-E1AD5A9FCD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327808" y="20514491"/>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95250</xdr:colOff>
      <xdr:row>118</xdr:row>
      <xdr:rowOff>15874</xdr:rowOff>
    </xdr:from>
    <xdr:to>
      <xdr:col>16</xdr:col>
      <xdr:colOff>314325</xdr:colOff>
      <xdr:row>119</xdr:row>
      <xdr:rowOff>104774</xdr:rowOff>
    </xdr:to>
    <xdr:sp macro="" textlink="" fLocksText="0">
      <xdr:nvSpPr>
        <xdr:cNvPr id="11" name="TextBox 10" descr="Final SOG Contrete Pour&#10;">
          <a:extLst>
            <a:ext uri="{FF2B5EF4-FFF2-40B4-BE49-F238E27FC236}">
              <a16:creationId xmlns:a16="http://schemas.microsoft.com/office/drawing/2014/main" id="{1B530736-469C-96ED-7551-1402F9FFC3C0}"/>
            </a:ext>
          </a:extLst>
        </xdr:cNvPr>
        <xdr:cNvSpPr txBox="1"/>
      </xdr:nvSpPr>
      <xdr:spPr>
        <a:xfrm>
          <a:off x="6267450" y="21323299"/>
          <a:ext cx="4048125" cy="2698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Final</a:t>
          </a:r>
          <a:r>
            <a:rPr lang="en-US" sz="1100" b="1" baseline="0">
              <a:solidFill>
                <a:schemeClr val="bg1"/>
              </a:solidFill>
            </a:rPr>
            <a:t> </a:t>
          </a:r>
          <a:r>
            <a:rPr lang="en-US" sz="1100" b="1">
              <a:solidFill>
                <a:schemeClr val="bg1"/>
              </a:solidFill>
            </a:rPr>
            <a:t>SOG Contrete Pour</a:t>
          </a:r>
        </a:p>
      </xdr:txBody>
    </xdr:sp>
    <xdr:clientData fLocksWithSheet="0"/>
  </xdr:twoCellAnchor>
  <xdr:twoCellAnchor>
    <xdr:from>
      <xdr:col>1</xdr:col>
      <xdr:colOff>304800</xdr:colOff>
      <xdr:row>125</xdr:row>
      <xdr:rowOff>57150</xdr:rowOff>
    </xdr:from>
    <xdr:to>
      <xdr:col>6</xdr:col>
      <xdr:colOff>468968</xdr:colOff>
      <xdr:row>134</xdr:row>
      <xdr:rowOff>149494</xdr:rowOff>
    </xdr:to>
    <xdr:pic>
      <xdr:nvPicPr>
        <xdr:cNvPr id="12" name="Picture 11" descr="Steel Erection Commencement Jan 2025&#10;">
          <a:extLst>
            <a:ext uri="{FF2B5EF4-FFF2-40B4-BE49-F238E27FC236}">
              <a16:creationId xmlns:a16="http://schemas.microsoft.com/office/drawing/2014/main" id="{A6A297F0-ABEA-4291-AA95-CD7E7A92A4D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14400" y="23793450"/>
          <a:ext cx="3212168"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76200</xdr:colOff>
      <xdr:row>135</xdr:row>
      <xdr:rowOff>76200</xdr:rowOff>
    </xdr:from>
    <xdr:to>
      <xdr:col>7</xdr:col>
      <xdr:colOff>190500</xdr:colOff>
      <xdr:row>136</xdr:row>
      <xdr:rowOff>123825</xdr:rowOff>
    </xdr:to>
    <xdr:sp macro="" textlink="" fLocksText="0">
      <xdr:nvSpPr>
        <xdr:cNvPr id="14" name="TextBox 13" descr="Second SOG Contrete Pour &amp; Vapor Barrier Installation&#10;">
          <a:extLst>
            <a:ext uri="{FF2B5EF4-FFF2-40B4-BE49-F238E27FC236}">
              <a16:creationId xmlns:a16="http://schemas.microsoft.com/office/drawing/2014/main" id="{FF39DAED-FFA6-46AE-82FF-E49C965E384F}"/>
            </a:ext>
          </a:extLst>
        </xdr:cNvPr>
        <xdr:cNvSpPr txBox="1"/>
      </xdr:nvSpPr>
      <xdr:spPr>
        <a:xfrm>
          <a:off x="685800" y="25717500"/>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Commencement</a:t>
          </a:r>
          <a:r>
            <a:rPr lang="en-US" sz="1100" b="1" baseline="0">
              <a:solidFill>
                <a:schemeClr val="bg1"/>
              </a:solidFill>
            </a:rPr>
            <a:t> Jan 2025</a:t>
          </a:r>
          <a:endParaRPr lang="en-US" sz="1100" b="1">
            <a:solidFill>
              <a:schemeClr val="bg1"/>
            </a:solidFill>
          </a:endParaRPr>
        </a:p>
      </xdr:txBody>
    </xdr:sp>
    <xdr:clientData fLocksWithSheet="0"/>
  </xdr:twoCellAnchor>
  <xdr:twoCellAnchor>
    <xdr:from>
      <xdr:col>10</xdr:col>
      <xdr:colOff>447675</xdr:colOff>
      <xdr:row>125</xdr:row>
      <xdr:rowOff>85725</xdr:rowOff>
    </xdr:from>
    <xdr:to>
      <xdr:col>16</xdr:col>
      <xdr:colOff>2242</xdr:colOff>
      <xdr:row>134</xdr:row>
      <xdr:rowOff>178069</xdr:rowOff>
    </xdr:to>
    <xdr:pic>
      <xdr:nvPicPr>
        <xdr:cNvPr id="16" name="Picture 15" descr="Steel Erection Completed &#10;">
          <a:extLst>
            <a:ext uri="{FF2B5EF4-FFF2-40B4-BE49-F238E27FC236}">
              <a16:creationId xmlns:a16="http://schemas.microsoft.com/office/drawing/2014/main" id="{08617ED4-E594-4175-B7A2-A2DD4C0C0D2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343650" y="23822025"/>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266700</xdr:colOff>
      <xdr:row>135</xdr:row>
      <xdr:rowOff>95250</xdr:rowOff>
    </xdr:from>
    <xdr:to>
      <xdr:col>16</xdr:col>
      <xdr:colOff>381000</xdr:colOff>
      <xdr:row>136</xdr:row>
      <xdr:rowOff>142875</xdr:rowOff>
    </xdr:to>
    <xdr:sp macro="" textlink="" fLocksText="0">
      <xdr:nvSpPr>
        <xdr:cNvPr id="31" name="TextBox 30" descr="Second SOG Contrete Pour &amp; Vapor Barrier Installation&#10;">
          <a:extLst>
            <a:ext uri="{FF2B5EF4-FFF2-40B4-BE49-F238E27FC236}">
              <a16:creationId xmlns:a16="http://schemas.microsoft.com/office/drawing/2014/main" id="{A283E26C-29C5-4F59-BE57-14322A5A8152}"/>
            </a:ext>
          </a:extLst>
        </xdr:cNvPr>
        <xdr:cNvSpPr txBox="1"/>
      </xdr:nvSpPr>
      <xdr:spPr>
        <a:xfrm>
          <a:off x="6162675" y="25736550"/>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Erection Completed</a:t>
          </a:r>
          <a:r>
            <a:rPr lang="en-US" sz="1100" b="1" baseline="0">
              <a:solidFill>
                <a:schemeClr val="bg1"/>
              </a:solidFill>
            </a:rPr>
            <a:t> </a:t>
          </a:r>
          <a:endParaRPr lang="en-US" sz="1100" b="1">
            <a:solidFill>
              <a:schemeClr val="bg1"/>
            </a:solidFill>
          </a:endParaRPr>
        </a:p>
      </xdr:txBody>
    </xdr:sp>
    <xdr:clientData fLocksWithSheet="0"/>
  </xdr:twoCellAnchor>
  <xdr:twoCellAnchor>
    <xdr:from>
      <xdr:col>1</xdr:col>
      <xdr:colOff>285750</xdr:colOff>
      <xdr:row>142</xdr:row>
      <xdr:rowOff>95250</xdr:rowOff>
    </xdr:from>
    <xdr:to>
      <xdr:col>6</xdr:col>
      <xdr:colOff>449917</xdr:colOff>
      <xdr:row>151</xdr:row>
      <xdr:rowOff>187594</xdr:rowOff>
    </xdr:to>
    <xdr:pic>
      <xdr:nvPicPr>
        <xdr:cNvPr id="32" name="Picture 31" descr="Steel Roof Laydown Commencement &#10;">
          <a:extLst>
            <a:ext uri="{FF2B5EF4-FFF2-40B4-BE49-F238E27FC236}">
              <a16:creationId xmlns:a16="http://schemas.microsoft.com/office/drawing/2014/main" id="{741D7784-93B4-43A1-9FEA-6015CC3C13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95350" y="27070050"/>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495300</xdr:colOff>
      <xdr:row>142</xdr:row>
      <xdr:rowOff>38100</xdr:rowOff>
    </xdr:from>
    <xdr:to>
      <xdr:col>16</xdr:col>
      <xdr:colOff>49867</xdr:colOff>
      <xdr:row>151</xdr:row>
      <xdr:rowOff>130444</xdr:rowOff>
    </xdr:to>
    <xdr:pic>
      <xdr:nvPicPr>
        <xdr:cNvPr id="33" name="Picture 32" descr="Steel Roof Laydown Completed&#10;">
          <a:extLst>
            <a:ext uri="{FF2B5EF4-FFF2-40B4-BE49-F238E27FC236}">
              <a16:creationId xmlns:a16="http://schemas.microsoft.com/office/drawing/2014/main" id="{10434621-53DF-47EA-A52D-A21670FC83C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6391275" y="27012900"/>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238125</xdr:colOff>
      <xdr:row>159</xdr:row>
      <xdr:rowOff>171450</xdr:rowOff>
    </xdr:from>
    <xdr:to>
      <xdr:col>6</xdr:col>
      <xdr:colOff>402292</xdr:colOff>
      <xdr:row>169</xdr:row>
      <xdr:rowOff>73294</xdr:rowOff>
    </xdr:to>
    <xdr:pic>
      <xdr:nvPicPr>
        <xdr:cNvPr id="34" name="Picture 33" descr="1st Layer of Roof Membrane Completed&#10;">
          <a:extLst>
            <a:ext uri="{FF2B5EF4-FFF2-40B4-BE49-F238E27FC236}">
              <a16:creationId xmlns:a16="http://schemas.microsoft.com/office/drawing/2014/main" id="{E2A77DFA-B522-49EE-AEFE-0F21C532D9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47725" y="30384750"/>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533400</xdr:colOff>
      <xdr:row>159</xdr:row>
      <xdr:rowOff>180975</xdr:rowOff>
    </xdr:from>
    <xdr:to>
      <xdr:col>16</xdr:col>
      <xdr:colOff>87967</xdr:colOff>
      <xdr:row>169</xdr:row>
      <xdr:rowOff>82819</xdr:rowOff>
    </xdr:to>
    <xdr:pic>
      <xdr:nvPicPr>
        <xdr:cNvPr id="35" name="Picture 34" descr="2nd Layer of Roof Membrane in Progress - June 2025&#10;">
          <a:extLst>
            <a:ext uri="{FF2B5EF4-FFF2-40B4-BE49-F238E27FC236}">
              <a16:creationId xmlns:a16="http://schemas.microsoft.com/office/drawing/2014/main" id="{51C2D526-1FDE-4A86-B8AE-87757E0BA9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6429375" y="30394275"/>
          <a:ext cx="3212167"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47625</xdr:colOff>
      <xdr:row>152</xdr:row>
      <xdr:rowOff>114300</xdr:rowOff>
    </xdr:from>
    <xdr:to>
      <xdr:col>7</xdr:col>
      <xdr:colOff>161925</xdr:colOff>
      <xdr:row>153</xdr:row>
      <xdr:rowOff>161925</xdr:rowOff>
    </xdr:to>
    <xdr:sp macro="" textlink="" fLocksText="0">
      <xdr:nvSpPr>
        <xdr:cNvPr id="37" name="TextBox 36" descr="Second SOG Contrete Pour &amp; Vapor Barrier Installation&#10;">
          <a:extLst>
            <a:ext uri="{FF2B5EF4-FFF2-40B4-BE49-F238E27FC236}">
              <a16:creationId xmlns:a16="http://schemas.microsoft.com/office/drawing/2014/main" id="{C0459648-FA72-481B-B322-B2FACD09F30B}"/>
            </a:ext>
          </a:extLst>
        </xdr:cNvPr>
        <xdr:cNvSpPr txBox="1"/>
      </xdr:nvSpPr>
      <xdr:spPr>
        <a:xfrm>
          <a:off x="657225" y="28994100"/>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Commencement</a:t>
          </a:r>
          <a:r>
            <a:rPr lang="en-US" sz="1100" b="1" baseline="0">
              <a:solidFill>
                <a:schemeClr val="bg1"/>
              </a:solidFill>
            </a:rPr>
            <a:t> </a:t>
          </a:r>
          <a:endParaRPr lang="en-US" sz="1100" b="1">
            <a:solidFill>
              <a:schemeClr val="bg1"/>
            </a:solidFill>
          </a:endParaRPr>
        </a:p>
      </xdr:txBody>
    </xdr:sp>
    <xdr:clientData fLocksWithSheet="0"/>
  </xdr:twoCellAnchor>
  <xdr:twoCellAnchor>
    <xdr:from>
      <xdr:col>10</xdr:col>
      <xdr:colOff>314325</xdr:colOff>
      <xdr:row>152</xdr:row>
      <xdr:rowOff>66675</xdr:rowOff>
    </xdr:from>
    <xdr:to>
      <xdr:col>16</xdr:col>
      <xdr:colOff>428625</xdr:colOff>
      <xdr:row>153</xdr:row>
      <xdr:rowOff>114300</xdr:rowOff>
    </xdr:to>
    <xdr:sp macro="" textlink="" fLocksText="0">
      <xdr:nvSpPr>
        <xdr:cNvPr id="38" name="TextBox 37" descr="Second SOG Contrete Pour &amp; Vapor Barrier Installation&#10;">
          <a:extLst>
            <a:ext uri="{FF2B5EF4-FFF2-40B4-BE49-F238E27FC236}">
              <a16:creationId xmlns:a16="http://schemas.microsoft.com/office/drawing/2014/main" id="{43B38FE2-B187-4EAE-A8CC-91D4D116B7A0}"/>
            </a:ext>
          </a:extLst>
        </xdr:cNvPr>
        <xdr:cNvSpPr txBox="1"/>
      </xdr:nvSpPr>
      <xdr:spPr>
        <a:xfrm>
          <a:off x="6210300" y="28946475"/>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Roof Laydown Completed</a:t>
          </a:r>
        </a:p>
      </xdr:txBody>
    </xdr:sp>
    <xdr:clientData fLocksWithSheet="0"/>
  </xdr:twoCellAnchor>
  <xdr:twoCellAnchor>
    <xdr:from>
      <xdr:col>1</xdr:col>
      <xdr:colOff>28575</xdr:colOff>
      <xdr:row>169</xdr:row>
      <xdr:rowOff>180975</xdr:rowOff>
    </xdr:from>
    <xdr:to>
      <xdr:col>7</xdr:col>
      <xdr:colOff>142875</xdr:colOff>
      <xdr:row>171</xdr:row>
      <xdr:rowOff>38100</xdr:rowOff>
    </xdr:to>
    <xdr:sp macro="" textlink="" fLocksText="0">
      <xdr:nvSpPr>
        <xdr:cNvPr id="39" name="TextBox 38" descr="Second SOG Contrete Pour &amp; Vapor Barrier Installation&#10;">
          <a:extLst>
            <a:ext uri="{FF2B5EF4-FFF2-40B4-BE49-F238E27FC236}">
              <a16:creationId xmlns:a16="http://schemas.microsoft.com/office/drawing/2014/main" id="{92057078-2ED4-451E-A3BD-BCA25BBD3622}"/>
            </a:ext>
          </a:extLst>
        </xdr:cNvPr>
        <xdr:cNvSpPr txBox="1"/>
      </xdr:nvSpPr>
      <xdr:spPr>
        <a:xfrm>
          <a:off x="638175" y="32299275"/>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1st Layer of Roof Membrane Completed</a:t>
          </a:r>
        </a:p>
      </xdr:txBody>
    </xdr:sp>
    <xdr:clientData fLocksWithSheet="0"/>
  </xdr:twoCellAnchor>
  <xdr:twoCellAnchor>
    <xdr:from>
      <xdr:col>10</xdr:col>
      <xdr:colOff>266700</xdr:colOff>
      <xdr:row>170</xdr:row>
      <xdr:rowOff>9525</xdr:rowOff>
    </xdr:from>
    <xdr:to>
      <xdr:col>16</xdr:col>
      <xdr:colOff>381000</xdr:colOff>
      <xdr:row>171</xdr:row>
      <xdr:rowOff>57150</xdr:rowOff>
    </xdr:to>
    <xdr:sp macro="" textlink="" fLocksText="0">
      <xdr:nvSpPr>
        <xdr:cNvPr id="40" name="TextBox 39" descr="Second SOG Contrete Pour &amp; Vapor Barrier Installation&#10;">
          <a:extLst>
            <a:ext uri="{FF2B5EF4-FFF2-40B4-BE49-F238E27FC236}">
              <a16:creationId xmlns:a16="http://schemas.microsoft.com/office/drawing/2014/main" id="{610350FE-23CB-4AF7-BC49-FB7CC2DB8EA7}"/>
            </a:ext>
          </a:extLst>
        </xdr:cNvPr>
        <xdr:cNvSpPr txBox="1"/>
      </xdr:nvSpPr>
      <xdr:spPr>
        <a:xfrm>
          <a:off x="6162675" y="32318325"/>
          <a:ext cx="37719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2nd</a:t>
          </a:r>
          <a:r>
            <a:rPr lang="en-US" sz="1100" b="1" baseline="0">
              <a:solidFill>
                <a:schemeClr val="bg1"/>
              </a:solidFill>
            </a:rPr>
            <a:t> Layer</a:t>
          </a:r>
          <a:r>
            <a:rPr lang="en-US" sz="1100" b="1">
              <a:solidFill>
                <a:schemeClr val="bg1"/>
              </a:solidFill>
            </a:rPr>
            <a:t> of Roof Membrane in Progress - June 2025</a:t>
          </a:r>
        </a:p>
      </xdr:txBody>
    </xdr:sp>
    <xdr:clientData fLocksWithSheet="0"/>
  </xdr:twoCellAnchor>
  <xdr:twoCellAnchor>
    <xdr:from>
      <xdr:col>2</xdr:col>
      <xdr:colOff>68146</xdr:colOff>
      <xdr:row>176</xdr:row>
      <xdr:rowOff>152400</xdr:rowOff>
    </xdr:from>
    <xdr:to>
      <xdr:col>6</xdr:col>
      <xdr:colOff>38871</xdr:colOff>
      <xdr:row>186</xdr:row>
      <xdr:rowOff>54244</xdr:rowOff>
    </xdr:to>
    <xdr:pic>
      <xdr:nvPicPr>
        <xdr:cNvPr id="41" name="Picture 40" descr="NW Exterior Pic&#10;">
          <a:extLst>
            <a:ext uri="{FF2B5EF4-FFF2-40B4-BE49-F238E27FC236}">
              <a16:creationId xmlns:a16="http://schemas.microsoft.com/office/drawing/2014/main" id="{0A4334EC-F051-42C3-B029-7BC4B43AA47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287346" y="33604200"/>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247649</xdr:colOff>
      <xdr:row>186</xdr:row>
      <xdr:rowOff>171450</xdr:rowOff>
    </xdr:from>
    <xdr:to>
      <xdr:col>6</xdr:col>
      <xdr:colOff>400050</xdr:colOff>
      <xdr:row>188</xdr:row>
      <xdr:rowOff>28575</xdr:rowOff>
    </xdr:to>
    <xdr:sp macro="" textlink="" fLocksText="0">
      <xdr:nvSpPr>
        <xdr:cNvPr id="43" name="TextBox 42" descr="Second SOG Contrete Pour &amp; Vapor Barrier Installation&#10;">
          <a:extLst>
            <a:ext uri="{FF2B5EF4-FFF2-40B4-BE49-F238E27FC236}">
              <a16:creationId xmlns:a16="http://schemas.microsoft.com/office/drawing/2014/main" id="{13137E78-2216-4D86-93FD-9F19B59823E4}"/>
            </a:ext>
          </a:extLst>
        </xdr:cNvPr>
        <xdr:cNvSpPr txBox="1"/>
      </xdr:nvSpPr>
      <xdr:spPr>
        <a:xfrm>
          <a:off x="857249" y="3552825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a:t>
          </a:r>
        </a:p>
      </xdr:txBody>
    </xdr:sp>
    <xdr:clientData fLocksWithSheet="0"/>
  </xdr:twoCellAnchor>
  <xdr:twoCellAnchor>
    <xdr:from>
      <xdr:col>11</xdr:col>
      <xdr:colOff>315796</xdr:colOff>
      <xdr:row>177</xdr:row>
      <xdr:rowOff>0</xdr:rowOff>
    </xdr:from>
    <xdr:to>
      <xdr:col>15</xdr:col>
      <xdr:colOff>286521</xdr:colOff>
      <xdr:row>186</xdr:row>
      <xdr:rowOff>92344</xdr:rowOff>
    </xdr:to>
    <xdr:pic>
      <xdr:nvPicPr>
        <xdr:cNvPr id="44" name="Picture 43" descr="NW Exterior Pic w/Zinc Metal Siding&#10;">
          <a:extLst>
            <a:ext uri="{FF2B5EF4-FFF2-40B4-BE49-F238E27FC236}">
              <a16:creationId xmlns:a16="http://schemas.microsoft.com/office/drawing/2014/main" id="{DF840CF3-989C-4692-8E38-531880DB8F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6821371" y="33642300"/>
          <a:ext cx="2409125" cy="18068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515821</xdr:colOff>
      <xdr:row>187</xdr:row>
      <xdr:rowOff>19050</xdr:rowOff>
    </xdr:from>
    <xdr:to>
      <xdr:col>16</xdr:col>
      <xdr:colOff>58622</xdr:colOff>
      <xdr:row>188</xdr:row>
      <xdr:rowOff>66675</xdr:rowOff>
    </xdr:to>
    <xdr:sp macro="" textlink="" fLocksText="0">
      <xdr:nvSpPr>
        <xdr:cNvPr id="45" name="TextBox 44" descr="Second SOG Contrete Pour &amp; Vapor Barrier Installation&#10;">
          <a:extLst>
            <a:ext uri="{FF2B5EF4-FFF2-40B4-BE49-F238E27FC236}">
              <a16:creationId xmlns:a16="http://schemas.microsoft.com/office/drawing/2014/main" id="{395482CE-71C4-4CF4-945F-80B4E26B8D39}"/>
            </a:ext>
          </a:extLst>
        </xdr:cNvPr>
        <xdr:cNvSpPr txBox="1"/>
      </xdr:nvSpPr>
      <xdr:spPr>
        <a:xfrm>
          <a:off x="6411796" y="35566350"/>
          <a:ext cx="3200401"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NW Exterior Pic w/Zinc Metal Siding</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mclain@lwtech.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177</v>
      </c>
      <c r="C1" s="132"/>
      <c r="D1" s="132"/>
      <c r="E1" s="132"/>
      <c r="F1" s="132"/>
      <c r="G1" s="132"/>
      <c r="H1" s="132"/>
      <c r="I1" s="132"/>
      <c r="J1" s="132"/>
      <c r="K1" s="132"/>
      <c r="L1" s="55"/>
    </row>
    <row r="2" spans="1:12" ht="21.75" thickBot="1" x14ac:dyDescent="0.4">
      <c r="A2" s="91"/>
      <c r="B2" s="133" t="s">
        <v>178</v>
      </c>
      <c r="C2" s="133"/>
      <c r="D2" s="133"/>
      <c r="E2" s="133"/>
      <c r="F2" s="133"/>
      <c r="G2" s="133"/>
      <c r="H2" s="133"/>
      <c r="I2" s="133"/>
      <c r="J2" s="133"/>
      <c r="K2" s="133"/>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4" t="s">
        <v>181</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180</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183</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3" t="s">
        <v>179</v>
      </c>
      <c r="C23" s="13"/>
      <c r="D23" s="13"/>
      <c r="E23" s="13"/>
      <c r="F23" s="13"/>
      <c r="G23" s="13"/>
      <c r="H23" s="13"/>
      <c r="I23" s="13"/>
      <c r="J23" s="13"/>
      <c r="K23" s="14"/>
    </row>
    <row r="24" spans="2:11" x14ac:dyDescent="0.25">
      <c r="B24" s="134" t="s">
        <v>194</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184</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0" t="s">
        <v>187</v>
      </c>
      <c r="D34" s="130"/>
      <c r="E34" s="130"/>
      <c r="F34" s="130"/>
      <c r="G34" s="130"/>
      <c r="H34" s="130"/>
      <c r="I34" s="130"/>
      <c r="J34" s="130"/>
      <c r="K34" s="131"/>
    </row>
    <row r="35" spans="2:11" x14ac:dyDescent="0.25">
      <c r="B35" s="128"/>
      <c r="C35" s="130"/>
      <c r="D35" s="130"/>
      <c r="E35" s="130"/>
      <c r="F35" s="130"/>
      <c r="G35" s="130"/>
      <c r="H35" s="130"/>
      <c r="I35" s="130"/>
      <c r="J35" s="130"/>
      <c r="K35" s="131"/>
    </row>
    <row r="36" spans="2:11" x14ac:dyDescent="0.25">
      <c r="B36" s="128"/>
      <c r="C36" s="130"/>
      <c r="D36" s="130"/>
      <c r="E36" s="130"/>
      <c r="F36" s="130"/>
      <c r="G36" s="130"/>
      <c r="H36" s="130"/>
      <c r="I36" s="130"/>
      <c r="J36" s="130"/>
      <c r="K36" s="131"/>
    </row>
    <row r="37" spans="2:11" ht="15" customHeight="1" x14ac:dyDescent="0.25">
      <c r="B37" s="15" t="s">
        <v>190</v>
      </c>
      <c r="C37" s="130" t="s">
        <v>198</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199</v>
      </c>
      <c r="C40" s="130" t="s">
        <v>200</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201</v>
      </c>
      <c r="C43" s="130" t="s">
        <v>202</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203</v>
      </c>
      <c r="C45" s="130" t="s">
        <v>205</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C12" sqref="C12:H12"/>
    </sheetView>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6" t="s">
        <v>57</v>
      </c>
      <c r="C1" s="186"/>
      <c r="D1" s="186"/>
      <c r="E1" s="186"/>
      <c r="F1" s="186"/>
      <c r="G1" s="186"/>
      <c r="H1" s="186"/>
      <c r="I1" s="186"/>
      <c r="J1" s="55"/>
    </row>
    <row r="2" spans="1:13" x14ac:dyDescent="0.25">
      <c r="A2" s="56"/>
      <c r="B2" s="129"/>
      <c r="C2" s="129"/>
      <c r="D2" s="129"/>
      <c r="E2" s="129" t="s">
        <v>207</v>
      </c>
      <c r="F2" s="129"/>
      <c r="G2" s="129"/>
      <c r="H2" s="129"/>
      <c r="I2" s="129"/>
      <c r="J2" s="57"/>
    </row>
    <row r="3" spans="1:13" ht="21" x14ac:dyDescent="0.35">
      <c r="A3" s="56"/>
      <c r="B3" s="187" t="s">
        <v>170</v>
      </c>
      <c r="C3" s="187"/>
      <c r="D3" s="187"/>
      <c r="E3" s="187"/>
      <c r="F3" s="187"/>
      <c r="G3" s="187"/>
      <c r="H3" s="187"/>
      <c r="I3" s="187"/>
      <c r="J3" s="57"/>
    </row>
    <row r="4" spans="1:13" ht="21" customHeight="1" x14ac:dyDescent="0.35">
      <c r="A4" s="58"/>
      <c r="B4" s="192" t="s">
        <v>221</v>
      </c>
      <c r="C4" s="192"/>
      <c r="D4" s="192"/>
      <c r="E4" s="192"/>
      <c r="F4" s="192"/>
      <c r="G4" s="192"/>
      <c r="H4" s="192"/>
      <c r="I4" s="192"/>
      <c r="J4" s="59"/>
    </row>
    <row r="5" spans="1:13" s="1" customFormat="1" x14ac:dyDescent="0.25">
      <c r="A5" s="60"/>
      <c r="B5" t="s">
        <v>59</v>
      </c>
      <c r="C5" s="171">
        <v>699</v>
      </c>
      <c r="D5" s="171"/>
      <c r="E5" s="171"/>
      <c r="F5" s="171"/>
      <c r="G5" s="171"/>
      <c r="H5" s="171"/>
      <c r="J5" s="61"/>
    </row>
    <row r="6" spans="1:13" s="1" customFormat="1" x14ac:dyDescent="0.25">
      <c r="A6" s="60"/>
      <c r="B6" t="s">
        <v>60</v>
      </c>
      <c r="C6" s="189" t="s">
        <v>211</v>
      </c>
      <c r="D6" s="190"/>
      <c r="E6" s="190"/>
      <c r="F6" s="190"/>
      <c r="G6" s="190"/>
      <c r="H6" s="191"/>
      <c r="J6" s="61"/>
    </row>
    <row r="7" spans="1:13" s="1" customFormat="1" ht="15.75" thickBot="1" x14ac:dyDescent="0.3">
      <c r="A7" s="62"/>
      <c r="B7" s="63" t="s">
        <v>143</v>
      </c>
      <c r="C7" s="188">
        <v>40000102</v>
      </c>
      <c r="D7" s="188"/>
      <c r="E7" s="188"/>
      <c r="F7" s="188"/>
      <c r="G7" s="188"/>
      <c r="H7" s="188"/>
      <c r="I7" s="64"/>
      <c r="J7" s="65"/>
    </row>
    <row r="8" spans="1:13" s="1" customFormat="1" ht="9.9499999999999993" customHeight="1" thickTop="1" x14ac:dyDescent="0.25">
      <c r="A8" s="60"/>
      <c r="B8"/>
      <c r="C8"/>
      <c r="D8" s="45"/>
      <c r="J8" s="61"/>
    </row>
    <row r="9" spans="1:13" s="1" customFormat="1" x14ac:dyDescent="0.25">
      <c r="A9" s="60"/>
      <c r="B9" s="150" t="s">
        <v>61</v>
      </c>
      <c r="C9" s="151"/>
      <c r="D9" s="151"/>
      <c r="E9" s="151"/>
      <c r="F9" s="151"/>
      <c r="G9" s="151"/>
      <c r="H9" s="151"/>
      <c r="I9" s="152"/>
      <c r="J9" s="61"/>
    </row>
    <row r="10" spans="1:13" s="1" customFormat="1" x14ac:dyDescent="0.25">
      <c r="A10" s="60"/>
      <c r="B10" s="15" t="s">
        <v>62</v>
      </c>
      <c r="C10" s="171" t="s">
        <v>222</v>
      </c>
      <c r="D10" s="171"/>
      <c r="E10" s="171"/>
      <c r="F10" s="171"/>
      <c r="G10" s="171"/>
      <c r="H10" s="171"/>
      <c r="I10" s="66"/>
      <c r="J10" s="61"/>
    </row>
    <row r="11" spans="1:13" s="1" customFormat="1" x14ac:dyDescent="0.25">
      <c r="A11" s="60"/>
      <c r="B11" s="15" t="s">
        <v>63</v>
      </c>
      <c r="C11" s="172" t="s">
        <v>225</v>
      </c>
      <c r="D11" s="172"/>
      <c r="E11" s="172"/>
      <c r="F11" s="172"/>
      <c r="G11" s="172"/>
      <c r="H11" s="172"/>
      <c r="I11" s="66"/>
      <c r="J11" s="61"/>
    </row>
    <row r="12" spans="1:13" s="1" customFormat="1" x14ac:dyDescent="0.25">
      <c r="A12" s="60"/>
      <c r="B12" s="18" t="s">
        <v>64</v>
      </c>
      <c r="C12" s="173" t="s">
        <v>223</v>
      </c>
      <c r="D12" s="173"/>
      <c r="E12" s="173"/>
      <c r="F12" s="173"/>
      <c r="G12" s="173"/>
      <c r="H12" s="173"/>
      <c r="I12" s="67"/>
      <c r="J12" s="61"/>
    </row>
    <row r="13" spans="1:13" ht="9.9499999999999993" customHeight="1" thickBot="1" x14ac:dyDescent="0.3">
      <c r="A13" s="56"/>
      <c r="D13" s="68"/>
      <c r="J13" s="57"/>
      <c r="M13" s="1"/>
    </row>
    <row r="14" spans="1:13" s="69" customFormat="1" ht="27" customHeight="1" thickTop="1" thickBot="1" x14ac:dyDescent="0.3">
      <c r="A14" s="153" t="s">
        <v>153</v>
      </c>
      <c r="B14" s="154"/>
      <c r="C14" s="154"/>
      <c r="D14" s="154"/>
      <c r="E14" s="154"/>
      <c r="F14" s="154"/>
      <c r="G14" s="154"/>
      <c r="H14" s="154"/>
      <c r="I14" s="154"/>
      <c r="J14" s="155"/>
      <c r="M14" s="1"/>
    </row>
    <row r="15" spans="1:13" ht="9.9499999999999993" customHeight="1" thickTop="1" x14ac:dyDescent="0.25">
      <c r="A15" s="56"/>
      <c r="D15" s="68"/>
      <c r="J15" s="57"/>
      <c r="M15" s="1"/>
    </row>
    <row r="16" spans="1:13" ht="15" customHeight="1" x14ac:dyDescent="0.25">
      <c r="A16" s="56"/>
      <c r="B16" s="70" t="s">
        <v>0</v>
      </c>
      <c r="C16" s="176" t="s">
        <v>212</v>
      </c>
      <c r="D16" s="177"/>
      <c r="E16" s="177"/>
      <c r="F16" s="177"/>
      <c r="G16" s="177"/>
      <c r="H16" s="177"/>
      <c r="I16" s="178"/>
      <c r="J16" s="57"/>
      <c r="M16" s="1"/>
    </row>
    <row r="17" spans="1:13" ht="15" customHeight="1" x14ac:dyDescent="0.25">
      <c r="A17" s="56"/>
      <c r="B17" s="185" t="s">
        <v>73</v>
      </c>
      <c r="C17" s="179"/>
      <c r="D17" s="180"/>
      <c r="E17" s="180"/>
      <c r="F17" s="180"/>
      <c r="G17" s="180"/>
      <c r="H17" s="180"/>
      <c r="I17" s="181"/>
      <c r="J17" s="57"/>
      <c r="M17" s="1"/>
    </row>
    <row r="18" spans="1:13" x14ac:dyDescent="0.25">
      <c r="A18" s="56"/>
      <c r="B18" s="185"/>
      <c r="C18" s="179"/>
      <c r="D18" s="180"/>
      <c r="E18" s="180"/>
      <c r="F18" s="180"/>
      <c r="G18" s="180"/>
      <c r="H18" s="180"/>
      <c r="I18" s="181"/>
      <c r="J18" s="57"/>
      <c r="M18" s="1"/>
    </row>
    <row r="19" spans="1:13" x14ac:dyDescent="0.25">
      <c r="A19" s="56"/>
      <c r="B19" s="185"/>
      <c r="C19" s="182"/>
      <c r="D19" s="183"/>
      <c r="E19" s="183"/>
      <c r="F19" s="183"/>
      <c r="G19" s="183"/>
      <c r="H19" s="183"/>
      <c r="I19" s="184"/>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6" t="s">
        <v>224</v>
      </c>
      <c r="D21" s="177"/>
      <c r="E21" s="177"/>
      <c r="F21" s="177"/>
      <c r="G21" s="177"/>
      <c r="H21" s="177"/>
      <c r="I21" s="178"/>
      <c r="J21" s="57"/>
      <c r="M21" s="1"/>
    </row>
    <row r="22" spans="1:13" ht="15" customHeight="1" x14ac:dyDescent="0.25">
      <c r="A22" s="56"/>
      <c r="B22" s="174" t="s">
        <v>144</v>
      </c>
      <c r="C22" s="179"/>
      <c r="D22" s="180"/>
      <c r="E22" s="180"/>
      <c r="F22" s="180"/>
      <c r="G22" s="180"/>
      <c r="H22" s="180"/>
      <c r="I22" s="181"/>
      <c r="J22" s="57"/>
      <c r="M22" s="1"/>
    </row>
    <row r="23" spans="1:13" x14ac:dyDescent="0.25">
      <c r="A23" s="56"/>
      <c r="B23" s="174"/>
      <c r="C23" s="179"/>
      <c r="D23" s="180"/>
      <c r="E23" s="180"/>
      <c r="F23" s="180"/>
      <c r="G23" s="180"/>
      <c r="H23" s="180"/>
      <c r="I23" s="181"/>
      <c r="J23" s="57"/>
      <c r="M23" s="1"/>
    </row>
    <row r="24" spans="1:13" x14ac:dyDescent="0.25">
      <c r="A24" s="56"/>
      <c r="B24" s="174"/>
      <c r="C24" s="179"/>
      <c r="D24" s="180"/>
      <c r="E24" s="180"/>
      <c r="F24" s="180"/>
      <c r="G24" s="180"/>
      <c r="H24" s="180"/>
      <c r="I24" s="181"/>
      <c r="J24" s="57"/>
      <c r="M24" s="1"/>
    </row>
    <row r="25" spans="1:13" x14ac:dyDescent="0.25">
      <c r="A25" s="56"/>
      <c r="B25" s="174"/>
      <c r="C25" s="179"/>
      <c r="D25" s="180"/>
      <c r="E25" s="180"/>
      <c r="F25" s="180"/>
      <c r="G25" s="180"/>
      <c r="H25" s="180"/>
      <c r="I25" s="181"/>
      <c r="J25" s="57"/>
      <c r="M25" s="1"/>
    </row>
    <row r="26" spans="1:13" x14ac:dyDescent="0.25">
      <c r="A26" s="56"/>
      <c r="B26" s="174"/>
      <c r="C26" s="179"/>
      <c r="D26" s="180"/>
      <c r="E26" s="180"/>
      <c r="F26" s="180"/>
      <c r="G26" s="180"/>
      <c r="H26" s="180"/>
      <c r="I26" s="181"/>
      <c r="J26" s="57"/>
      <c r="M26" s="1"/>
    </row>
    <row r="27" spans="1:13" x14ac:dyDescent="0.25">
      <c r="A27" s="56"/>
      <c r="B27" s="175"/>
      <c r="C27" s="182"/>
      <c r="D27" s="183"/>
      <c r="E27" s="183"/>
      <c r="F27" s="183"/>
      <c r="G27" s="183"/>
      <c r="H27" s="183"/>
      <c r="I27" s="184"/>
      <c r="J27" s="57"/>
      <c r="M27" s="1"/>
    </row>
    <row r="28" spans="1:13" ht="9.9499999999999993" customHeight="1" x14ac:dyDescent="0.25">
      <c r="A28" s="56"/>
      <c r="D28" s="68"/>
      <c r="J28" s="57"/>
      <c r="M28" s="1"/>
    </row>
    <row r="29" spans="1:13" s="1" customFormat="1" x14ac:dyDescent="0.25">
      <c r="A29" s="60"/>
      <c r="B29" s="150" t="s">
        <v>154</v>
      </c>
      <c r="C29" s="151"/>
      <c r="D29" s="151"/>
      <c r="E29" s="151"/>
      <c r="F29" s="151"/>
      <c r="G29" s="151"/>
      <c r="H29" s="151"/>
      <c r="I29" s="152"/>
      <c r="J29" s="61"/>
    </row>
    <row r="30" spans="1:13" ht="15" customHeight="1" thickBot="1" x14ac:dyDescent="0.3">
      <c r="A30" s="56"/>
      <c r="B30" s="73"/>
      <c r="C30" s="156" t="s">
        <v>175</v>
      </c>
      <c r="D30" s="157"/>
      <c r="E30" s="157"/>
      <c r="F30" s="157"/>
      <c r="G30" s="157"/>
      <c r="H30" s="158"/>
      <c r="I30" s="159"/>
      <c r="J30" s="57"/>
      <c r="M30" s="1"/>
    </row>
    <row r="31" spans="1:13" ht="15" customHeight="1" x14ac:dyDescent="0.25">
      <c r="A31" s="56"/>
      <c r="B31" s="73"/>
      <c r="C31" s="156" t="s">
        <v>158</v>
      </c>
      <c r="D31" s="159"/>
      <c r="E31" s="156" t="s">
        <v>159</v>
      </c>
      <c r="F31" s="157"/>
      <c r="G31" s="157"/>
      <c r="H31" s="160" t="s">
        <v>1</v>
      </c>
      <c r="I31" s="162" t="s">
        <v>67</v>
      </c>
      <c r="J31" s="57"/>
      <c r="M31" s="1"/>
    </row>
    <row r="32" spans="1:13" s="1" customFormat="1" ht="30" x14ac:dyDescent="0.25">
      <c r="A32" s="60"/>
      <c r="B32" s="10" t="s">
        <v>156</v>
      </c>
      <c r="C32" s="74" t="s">
        <v>161</v>
      </c>
      <c r="D32" s="4" t="s">
        <v>208</v>
      </c>
      <c r="E32" s="4" t="s">
        <v>209</v>
      </c>
      <c r="F32" s="4" t="s">
        <v>210</v>
      </c>
      <c r="G32" s="5" t="s">
        <v>160</v>
      </c>
      <c r="H32" s="161"/>
      <c r="I32" s="16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218</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2290792.4500000002</v>
      </c>
      <c r="D38" s="48">
        <f>SUM(D39:D42)</f>
        <v>862944.69</v>
      </c>
      <c r="E38" s="48">
        <f>SUM(E39:E42)</f>
        <v>6262.8599999998696</v>
      </c>
      <c r="F38" s="48">
        <f>SUM(F39:F42)</f>
        <v>0</v>
      </c>
      <c r="G38" s="49">
        <f>SUM(G39:G42)</f>
        <v>0</v>
      </c>
      <c r="H38" s="50">
        <f>SUM(C38:G38)</f>
        <v>3160000</v>
      </c>
      <c r="I38" s="7"/>
      <c r="J38" s="57"/>
      <c r="M38" s="1"/>
    </row>
    <row r="39" spans="1:13" x14ac:dyDescent="0.25">
      <c r="A39" s="56"/>
      <c r="B39" s="8" t="s">
        <v>218</v>
      </c>
      <c r="C39" s="75">
        <v>2290792.4500000002</v>
      </c>
      <c r="D39" s="76">
        <v>862944.69</v>
      </c>
      <c r="E39" s="76">
        <f>3160000-D39-C39</f>
        <v>6262.8599999998696</v>
      </c>
      <c r="F39" s="76"/>
      <c r="G39" s="77"/>
      <c r="H39" s="9">
        <f>SUM(C39:G39)</f>
        <v>3160000</v>
      </c>
      <c r="I39" s="78" t="s">
        <v>213</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0</v>
      </c>
      <c r="D43" s="48">
        <f>SUM(D44:D47)</f>
        <v>14481664.109999999</v>
      </c>
      <c r="E43" s="48">
        <f>SUM(E44:E47)</f>
        <v>24967335.890000001</v>
      </c>
      <c r="F43" s="48">
        <f>SUM(F44:F47)</f>
        <v>0</v>
      </c>
      <c r="G43" s="49">
        <f>SUM(G44:G47)</f>
        <v>0</v>
      </c>
      <c r="H43" s="50">
        <f>SUM(C43:G43)</f>
        <v>39449000</v>
      </c>
      <c r="I43" s="7"/>
      <c r="J43" s="57"/>
      <c r="M43" s="1"/>
    </row>
    <row r="44" spans="1:13" x14ac:dyDescent="0.25">
      <c r="A44" s="56"/>
      <c r="B44" s="8" t="s">
        <v>218</v>
      </c>
      <c r="C44" s="75"/>
      <c r="D44" s="76">
        <v>14481664.109999999</v>
      </c>
      <c r="E44" s="76">
        <f>38949000-D44-C44</f>
        <v>24467335.890000001</v>
      </c>
      <c r="F44" s="76"/>
      <c r="G44" s="77"/>
      <c r="H44" s="9">
        <f>SUM(C44:G44)</f>
        <v>38949000</v>
      </c>
      <c r="I44" s="78" t="s">
        <v>214</v>
      </c>
      <c r="J44" s="57"/>
      <c r="M44" s="1"/>
    </row>
    <row r="45" spans="1:13" x14ac:dyDescent="0.25">
      <c r="A45" s="56"/>
      <c r="B45" s="125" t="s">
        <v>193</v>
      </c>
      <c r="C45" s="75"/>
      <c r="D45" s="76"/>
      <c r="E45" s="76"/>
      <c r="F45" s="76"/>
      <c r="G45" s="77"/>
      <c r="H45" s="9">
        <f>SUM(C45:G45)</f>
        <v>0</v>
      </c>
      <c r="I45" s="78"/>
      <c r="J45" s="57"/>
      <c r="M45" s="1"/>
    </row>
    <row r="46" spans="1:13" x14ac:dyDescent="0.25">
      <c r="A46" s="56"/>
      <c r="B46" s="125" t="s">
        <v>215</v>
      </c>
      <c r="C46" s="75"/>
      <c r="D46" s="76"/>
      <c r="E46" s="76">
        <f>500000-D46-C46</f>
        <v>500000</v>
      </c>
      <c r="F46" s="76"/>
      <c r="G46" s="77"/>
      <c r="H46" s="9">
        <f t="shared" ref="H46:H47" si="2">SUM(C46:G46)</f>
        <v>500000</v>
      </c>
      <c r="I46" s="78" t="s">
        <v>216</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2290792.4500000002</v>
      </c>
      <c r="D48" s="51">
        <f>D33+D38+D43</f>
        <v>15344608.799999999</v>
      </c>
      <c r="E48" s="51">
        <f>E33+E38+E43</f>
        <v>24973598.75</v>
      </c>
      <c r="F48" s="51">
        <f>F33+F38+F43</f>
        <v>0</v>
      </c>
      <c r="G48" s="52">
        <f>G33+G38+G43</f>
        <v>0</v>
      </c>
      <c r="H48" s="53">
        <f>SUM(C48:G48)</f>
        <v>42609000</v>
      </c>
      <c r="I48" s="7"/>
      <c r="J48" s="61"/>
    </row>
    <row r="49" spans="1:13" s="1" customFormat="1" ht="9.9499999999999993" customHeight="1" x14ac:dyDescent="0.25">
      <c r="A49" s="60"/>
      <c r="C49" s="79"/>
      <c r="D49" s="79"/>
      <c r="J49" s="61"/>
    </row>
    <row r="50" spans="1:13" s="1" customFormat="1" x14ac:dyDescent="0.25">
      <c r="A50" s="60"/>
      <c r="B50" s="147" t="s">
        <v>155</v>
      </c>
      <c r="C50" s="148"/>
      <c r="D50" s="148"/>
      <c r="E50" s="148"/>
      <c r="F50" s="148"/>
      <c r="G50" s="148"/>
      <c r="H50" s="148"/>
      <c r="I50" s="149"/>
      <c r="J50" s="61"/>
    </row>
    <row r="51" spans="1:13" x14ac:dyDescent="0.25">
      <c r="A51" s="56"/>
      <c r="B51" s="80" t="s">
        <v>69</v>
      </c>
      <c r="C51" s="168" t="s">
        <v>101</v>
      </c>
      <c r="D51" s="168"/>
      <c r="E51" s="167" t="s">
        <v>70</v>
      </c>
      <c r="F51" s="167"/>
      <c r="G51" s="141" t="s">
        <v>141</v>
      </c>
      <c r="H51" s="141"/>
      <c r="I51" s="16"/>
      <c r="J51" s="57"/>
      <c r="M51" s="1"/>
    </row>
    <row r="52" spans="1:13" x14ac:dyDescent="0.25">
      <c r="A52" s="56"/>
      <c r="B52" s="15" t="s">
        <v>219</v>
      </c>
      <c r="C52" s="169">
        <v>0</v>
      </c>
      <c r="D52" s="170"/>
      <c r="E52" t="s">
        <v>71</v>
      </c>
      <c r="G52" s="142" t="s">
        <v>138</v>
      </c>
      <c r="H52" s="142"/>
      <c r="I52" s="16"/>
      <c r="J52" s="57"/>
      <c r="M52" s="1"/>
    </row>
    <row r="53" spans="1:13" x14ac:dyDescent="0.25">
      <c r="A53" s="56"/>
      <c r="B53" s="18" t="s">
        <v>148</v>
      </c>
      <c r="C53" s="142" t="s">
        <v>55</v>
      </c>
      <c r="D53" s="142"/>
      <c r="E53" s="19" t="s">
        <v>72</v>
      </c>
      <c r="F53" s="19"/>
      <c r="G53" s="142" t="s">
        <v>138</v>
      </c>
      <c r="H53" s="142"/>
      <c r="I53" s="20"/>
      <c r="J53" s="57"/>
      <c r="M53" s="1"/>
    </row>
    <row r="54" spans="1:13" ht="9.9499999999999993" customHeight="1" x14ac:dyDescent="0.25">
      <c r="A54" s="56"/>
      <c r="J54" s="57"/>
      <c r="M54" s="1"/>
    </row>
    <row r="55" spans="1:13" x14ac:dyDescent="0.25">
      <c r="A55" s="56"/>
      <c r="B55" s="147" t="s">
        <v>68</v>
      </c>
      <c r="C55" s="148"/>
      <c r="D55" s="148"/>
      <c r="E55" s="148"/>
      <c r="F55" s="148"/>
      <c r="G55" s="148"/>
      <c r="H55" s="148"/>
      <c r="I55" s="149"/>
      <c r="J55" s="57"/>
      <c r="M55" s="1"/>
    </row>
    <row r="56" spans="1:13" ht="75" customHeight="1" x14ac:dyDescent="0.25">
      <c r="A56" s="56"/>
      <c r="B56" s="143" t="s">
        <v>176</v>
      </c>
      <c r="C56" s="143"/>
      <c r="D56" s="143"/>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51750</v>
      </c>
      <c r="F57" s="81">
        <v>56500</v>
      </c>
      <c r="G57" s="82"/>
      <c r="H57" s="114">
        <f>IF($H$56=Lists!$D$8, IFERROR(F57-E57, ""), IF($H$56=Lists!$D$9, IFERROR(G57-E57, ""), IFERROR(G57-F57, "")))</f>
        <v>-56500</v>
      </c>
      <c r="I57" s="83"/>
      <c r="J57" s="57"/>
      <c r="M57" s="1"/>
    </row>
    <row r="58" spans="1:13" x14ac:dyDescent="0.25">
      <c r="A58" s="56"/>
      <c r="B58" s="15" t="s">
        <v>42</v>
      </c>
      <c r="D58" s="16"/>
      <c r="E58" s="81">
        <v>34950</v>
      </c>
      <c r="F58" s="81">
        <v>39900</v>
      </c>
      <c r="G58" s="82"/>
      <c r="H58" s="114">
        <f>IF($H$56=Lists!$D$8, IFERROR(F58-E58, ""), IF($H$56=Lists!$D$9, IFERROR(G58-E58, ""), IFERROR(G58-F58, "")))</f>
        <v>-39900</v>
      </c>
      <c r="I58" s="83"/>
      <c r="J58" s="57"/>
      <c r="M58" s="1"/>
    </row>
    <row r="59" spans="1:13" x14ac:dyDescent="0.25">
      <c r="A59" s="56"/>
      <c r="B59" s="15" t="s">
        <v>43</v>
      </c>
      <c r="D59" s="16"/>
      <c r="E59" s="17">
        <f>IFERROR(E58/E57, "")</f>
        <v>0.67536231884057973</v>
      </c>
      <c r="F59" s="17">
        <f t="shared" ref="F59:G59" si="3">IFERROR(F58/F57, "")</f>
        <v>0.70619469026548676</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450.02359420289855</v>
      </c>
      <c r="F62" s="21">
        <f>IFERROR(F91/F57, "")</f>
        <v>519.89630088495574</v>
      </c>
      <c r="G62" s="21" t="str">
        <f>IFERROR(G91/G57, "")</f>
        <v/>
      </c>
      <c r="H62" s="117" t="str">
        <f>IF($H$56=Lists!$D$8, IFERROR(F62-E62, ""), IF($H$56=Lists!$D$9, IFERROR(G62-E62, ""), IFERROR(G62-F62, "")))</f>
        <v/>
      </c>
      <c r="I62" s="86"/>
      <c r="J62" s="57"/>
      <c r="K62" s="87"/>
    </row>
    <row r="63" spans="1:13" x14ac:dyDescent="0.25">
      <c r="A63" s="56"/>
      <c r="B63" s="18" t="s">
        <v>162</v>
      </c>
      <c r="C63" s="19"/>
      <c r="D63" s="20"/>
      <c r="E63" s="22">
        <f>IFERROR(E97/E57, "")</f>
        <v>520.32330434782614</v>
      </c>
      <c r="F63" s="22">
        <f>IFERROR(F97/F57, "")</f>
        <v>601.57203539823013</v>
      </c>
      <c r="G63" s="22" t="str">
        <f>IFERROR(G97/G57, "")</f>
        <v/>
      </c>
      <c r="H63" s="117" t="str">
        <f>IF($H$56=Lists!$D$8, IFERROR(F63-E63, ""), IF($H$56=Lists!$D$9, IFERROR(G63-E63, ""), IFERROR(G63-F63, "")))</f>
        <v/>
      </c>
      <c r="I63" s="88"/>
      <c r="J63" s="57"/>
      <c r="K63" s="87"/>
    </row>
    <row r="64" spans="1:13" x14ac:dyDescent="0.25">
      <c r="A64" s="56"/>
      <c r="B64" s="144" t="s">
        <v>5</v>
      </c>
      <c r="C64" s="145"/>
      <c r="D64" s="145"/>
      <c r="E64" s="145"/>
      <c r="F64" s="145"/>
      <c r="G64" s="145"/>
      <c r="H64" s="145"/>
      <c r="I64" s="146"/>
      <c r="J64" s="57"/>
    </row>
    <row r="65" spans="1:10" x14ac:dyDescent="0.25">
      <c r="A65" s="56"/>
      <c r="B65" s="12" t="s">
        <v>6</v>
      </c>
      <c r="C65" s="13"/>
      <c r="D65" s="14"/>
      <c r="E65" s="89">
        <v>43862</v>
      </c>
      <c r="F65" s="89">
        <v>43891</v>
      </c>
      <c r="G65" s="90">
        <v>43879</v>
      </c>
      <c r="H65" s="114" t="str">
        <f>IF(SUM(E65:G65)=0, "", IF($H$56=Lists!$D$8, IFERROR(MROUND(CONVERT(F65-E65,"day","yr")*12, 0.5)&amp;" mo.", ""), IF($H$56=Lists!$D$9, IFERROR(MROUND(CONVERT(G65-E65,"day","yr")*12, 0.5)&amp;" mo.", ""), IFERROR(MROUND(CONVERT(G65-F65,"day","yr")*12, 0.5)&amp;" mo.", ""))))</f>
        <v/>
      </c>
      <c r="I65" s="83" t="s">
        <v>217</v>
      </c>
      <c r="J65" s="57"/>
    </row>
    <row r="66" spans="1:10" x14ac:dyDescent="0.25">
      <c r="A66" s="56"/>
      <c r="B66" s="15" t="s">
        <v>7</v>
      </c>
      <c r="D66" s="16"/>
      <c r="E66" s="89">
        <v>43862</v>
      </c>
      <c r="F66" s="89">
        <v>43922</v>
      </c>
      <c r="G66" s="90">
        <v>43885</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45314</v>
      </c>
      <c r="H67" s="114" t="str">
        <f>IF(SUM(E67:G67)=0, "", IF($H$56=Lists!$D$8, IFERROR(MROUND(CONVERT(F67-E67,"day","yr")*12, 0.5)&amp;" mo.", ""), IF($H$56=Lists!$D$9, IFERROR(MROUND(CONVERT(G67-E67,"day","yr")*12, 0.5)&amp;" mo.", ""), IFERROR(MROUND(CONVERT(G67-F67,"day","yr")*12, 0.5)&amp;" mo.", ""))))</f>
        <v>1489 mo.</v>
      </c>
      <c r="I67" s="83"/>
      <c r="J67" s="57"/>
    </row>
    <row r="68" spans="1:10" x14ac:dyDescent="0.25">
      <c r="A68" s="56"/>
      <c r="B68" s="15" t="s">
        <v>66</v>
      </c>
      <c r="D68" s="16"/>
      <c r="E68" s="89">
        <v>44378</v>
      </c>
      <c r="F68" s="89">
        <v>45139</v>
      </c>
      <c r="G68" s="90">
        <v>45369</v>
      </c>
      <c r="H68" s="114" t="str">
        <f>IF(SUM(E68:G68)=0, "", IF($H$56=Lists!$D$8, IFERROR(MROUND(CONVERT(F68-E68,"day","yr")*12, 0.5)&amp;" mo.", ""), IF($H$56=Lists!$D$9, IFERROR(MROUND(CONVERT(G68-E68,"day","yr")*12, 0.5)&amp;" mo.", ""), IFERROR(MROUND(CONVERT(G68-F68,"day","yr")*12, 0.5)&amp;" mo.", ""))))</f>
        <v>7.5 mo.</v>
      </c>
      <c r="I68" s="83"/>
      <c r="J68" s="57"/>
    </row>
    <row r="69" spans="1:10" x14ac:dyDescent="0.25">
      <c r="A69" s="56"/>
      <c r="B69" s="15" t="s">
        <v>8</v>
      </c>
      <c r="D69" s="16"/>
      <c r="E69" s="89">
        <v>44927</v>
      </c>
      <c r="F69" s="89">
        <v>45689</v>
      </c>
      <c r="G69" s="90">
        <v>46038</v>
      </c>
      <c r="H69" s="114" t="str">
        <f>IF(SUM(E69:G69)=0, "", IF($H$56=Lists!$D$8, IFERROR(MROUND(CONVERT(F69-E69,"day","yr")*12, 0.5)&amp;" mo.", ""), IF($H$56=Lists!$D$9, IFERROR(MROUND(CONVERT(G69-E69,"day","yr")*12, 0.5)&amp;" mo.", ""), IFERROR(MROUND(CONVERT(G69-F69,"day","yr")*12, 0.5)&amp;" mo.", ""))))</f>
        <v>11.5 mo.</v>
      </c>
      <c r="I69" s="83"/>
      <c r="J69" s="57"/>
    </row>
    <row r="70" spans="1:10" x14ac:dyDescent="0.25">
      <c r="A70" s="56"/>
      <c r="B70" s="18" t="s">
        <v>9</v>
      </c>
      <c r="C70" s="19"/>
      <c r="D70" s="20"/>
      <c r="E70" s="89"/>
      <c r="F70" s="89"/>
      <c r="G70" s="90">
        <v>46099</v>
      </c>
      <c r="H70" s="114" t="str">
        <f>IF(SUM(E70:G70)=0, "", IF($H$56=Lists!$D$8, IFERROR(MROUND(CONVERT(F70-E70,"day","yr")*12, 0.5)&amp;" mo.", ""), IF($H$56=Lists!$D$9, IFERROR(MROUND(CONVERT(G70-E70,"day","yr")*12, 0.5)&amp;" mo.", ""), IFERROR(MROUND(CONVERT(G70-F70,"day","yr")*12, 0.5)&amp;" mo.", ""))))</f>
        <v>1514.5 mo.</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3" t="s">
        <v>152</v>
      </c>
      <c r="B72" s="154"/>
      <c r="C72" s="154"/>
      <c r="D72" s="154"/>
      <c r="E72" s="154"/>
      <c r="F72" s="154"/>
      <c r="G72" s="154"/>
      <c r="H72" s="154"/>
      <c r="I72" s="154"/>
      <c r="J72" s="155"/>
    </row>
    <row r="73" spans="1:10" ht="9.9499999999999993" customHeight="1" thickTop="1" x14ac:dyDescent="0.25">
      <c r="A73" s="56"/>
      <c r="B73" s="33"/>
      <c r="C73" s="33"/>
      <c r="D73" s="33"/>
      <c r="E73" s="26"/>
      <c r="F73" s="26"/>
      <c r="G73" s="26"/>
      <c r="H73" s="27"/>
      <c r="I73" s="94"/>
      <c r="J73" s="57"/>
    </row>
    <row r="74" spans="1:10" ht="75" customHeight="1" x14ac:dyDescent="0.25">
      <c r="A74" s="56"/>
      <c r="B74" s="143" t="s">
        <v>176</v>
      </c>
      <c r="C74" s="143"/>
      <c r="D74" s="143"/>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7" t="s">
        <v>11</v>
      </c>
      <c r="C75" s="148"/>
      <c r="D75" s="148"/>
      <c r="E75" s="148"/>
      <c r="F75" s="148"/>
      <c r="G75" s="148"/>
      <c r="H75" s="148"/>
      <c r="I75" s="149"/>
      <c r="J75" s="57"/>
    </row>
    <row r="76" spans="1:10" x14ac:dyDescent="0.25">
      <c r="A76" s="56"/>
      <c r="B76" s="164" t="s">
        <v>50</v>
      </c>
      <c r="C76" s="165"/>
      <c r="D76" s="16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7" t="s">
        <v>12</v>
      </c>
      <c r="C78" s="148"/>
      <c r="D78" s="148"/>
      <c r="E78" s="148"/>
      <c r="F78" s="148"/>
      <c r="G78" s="148"/>
      <c r="H78" s="148"/>
      <c r="I78" s="149"/>
      <c r="J78" s="57"/>
    </row>
    <row r="79" spans="1:10" x14ac:dyDescent="0.25">
      <c r="A79" s="56"/>
      <c r="B79" s="12" t="s">
        <v>44</v>
      </c>
      <c r="C79" s="13"/>
      <c r="D79" s="14"/>
      <c r="E79" s="97">
        <v>228616</v>
      </c>
      <c r="F79" s="97">
        <v>242148</v>
      </c>
      <c r="G79" s="98">
        <v>389654.7</v>
      </c>
      <c r="H79" s="31">
        <f>IF($H$56=Lists!$D$8, IFERROR(F79-E79, ""), IF($H$56=Lists!$D$9, IFERROR(G79-E79, ""), IFERROR(G79-F79, "")))</f>
        <v>147506.70000000001</v>
      </c>
      <c r="I79" s="83"/>
      <c r="J79" s="57"/>
    </row>
    <row r="80" spans="1:10" x14ac:dyDescent="0.25">
      <c r="A80" s="56"/>
      <c r="B80" s="15" t="s">
        <v>164</v>
      </c>
      <c r="D80" s="16"/>
      <c r="E80" s="97">
        <v>1146423</v>
      </c>
      <c r="F80" s="97">
        <v>1413408</v>
      </c>
      <c r="G80" s="98">
        <v>1585838.83</v>
      </c>
      <c r="H80" s="31">
        <f>IF($H$56=Lists!$D$8, IFERROR(F80-E80, ""), IF($H$56=Lists!$D$9, IFERROR(G80-E80, ""), IFERROR(G80-F80, "")))</f>
        <v>172430.83000000007</v>
      </c>
      <c r="I80" s="83"/>
      <c r="J80" s="57"/>
    </row>
    <row r="81" spans="1:10" x14ac:dyDescent="0.25">
      <c r="A81" s="56"/>
      <c r="B81" s="15" t="s">
        <v>166</v>
      </c>
      <c r="D81" s="16"/>
      <c r="E81" s="97">
        <v>1268489</v>
      </c>
      <c r="F81" s="97">
        <f>1318477+104642</f>
        <v>1423119</v>
      </c>
      <c r="G81" s="98">
        <v>765599.07</v>
      </c>
      <c r="H81" s="31">
        <f>IF($H$56=Lists!$D$8, IFERROR(F81-E81, ""), IF($H$56=Lists!$D$9, IFERROR(G81-E81, ""), IFERROR(G81-F81, "")))</f>
        <v>-657519.93000000005</v>
      </c>
      <c r="I81" s="83"/>
      <c r="J81" s="57"/>
    </row>
    <row r="82" spans="1:10" x14ac:dyDescent="0.25">
      <c r="A82" s="56"/>
      <c r="B82" s="15" t="s">
        <v>165</v>
      </c>
      <c r="D82" s="16"/>
      <c r="E82" s="97">
        <f>503086*1.073</f>
        <v>539811.27799999993</v>
      </c>
      <c r="F82" s="97">
        <f>598289*1.0963</f>
        <v>655904.23070000007</v>
      </c>
      <c r="G82" s="97"/>
      <c r="H82" s="31">
        <f>IF($H$56=Lists!$D$8, IFERROR(F82-E82, ""), IF($H$56=Lists!$D$9, IFERROR(G82-E82, ""), IFERROR(G82-F82, "")))</f>
        <v>-655904.23070000007</v>
      </c>
      <c r="I82" s="83"/>
      <c r="J82" s="57"/>
    </row>
    <row r="83" spans="1:10" x14ac:dyDescent="0.25">
      <c r="A83" s="56"/>
      <c r="B83" s="15" t="s">
        <v>167</v>
      </c>
      <c r="D83" s="16"/>
      <c r="E83" s="97">
        <f>808062-E82</f>
        <v>268250.72200000007</v>
      </c>
      <c r="F83" s="97">
        <f>977000-F82</f>
        <v>321095.76929999993</v>
      </c>
      <c r="G83" s="97">
        <v>307286.58</v>
      </c>
      <c r="H83" s="32">
        <f>IF($H$56=Lists!$D$8, IFERROR(F83-E83, ""), IF($H$56=Lists!$D$9, IFERROR(G83-E83, ""), IFERROR(G83-F83, "")))</f>
        <v>-13809.189299999911</v>
      </c>
      <c r="I83" s="83"/>
      <c r="J83" s="57"/>
    </row>
    <row r="84" spans="1:10" x14ac:dyDescent="0.25">
      <c r="A84" s="56"/>
      <c r="B84" s="15" t="s">
        <v>13</v>
      </c>
      <c r="D84" s="16"/>
      <c r="E84" s="97">
        <v>179184</v>
      </c>
      <c r="F84" s="97">
        <v>217608</v>
      </c>
      <c r="G84" s="98"/>
      <c r="H84" s="31">
        <f>IF($H$56=Lists!$D$8, IFERROR(F84-E84, ""), IF($H$56=Lists!$D$9, IFERROR(G84-E84, ""), IFERROR(G84-F84, "")))</f>
        <v>-217608</v>
      </c>
      <c r="I84" s="99"/>
      <c r="J84" s="57"/>
    </row>
    <row r="85" spans="1:10" x14ac:dyDescent="0.25">
      <c r="A85" s="56"/>
      <c r="B85" s="205" t="s">
        <v>14</v>
      </c>
      <c r="C85" s="206"/>
      <c r="D85" s="207"/>
      <c r="E85" s="34">
        <f>SUM(E79:E84)</f>
        <v>3630774</v>
      </c>
      <c r="F85" s="34">
        <f>SUM(F79:F84)</f>
        <v>4273283</v>
      </c>
      <c r="G85" s="34">
        <f>SUM(G79:G84)</f>
        <v>3048379.18</v>
      </c>
      <c r="H85" s="35">
        <f>IF($H$56=Lists!$D$8, IFERROR(F85-E85, ""), IF($H$56=Lists!$D$9, IFERROR(G85-E85, ""), IFERROR(G85-F85, "")))</f>
        <v>-1224903.8199999998</v>
      </c>
      <c r="I85" s="100"/>
      <c r="J85" s="57"/>
    </row>
    <row r="86" spans="1:10" ht="9.9499999999999993" customHeight="1" x14ac:dyDescent="0.25">
      <c r="A86" s="56"/>
      <c r="J86" s="57"/>
    </row>
    <row r="87" spans="1:10" x14ac:dyDescent="0.25">
      <c r="A87" s="56"/>
      <c r="B87" s="147" t="s">
        <v>15</v>
      </c>
      <c r="C87" s="148"/>
      <c r="D87" s="148"/>
      <c r="E87" s="148"/>
      <c r="F87" s="148"/>
      <c r="G87" s="148"/>
      <c r="H87" s="148"/>
      <c r="I87" s="149"/>
      <c r="J87" s="57"/>
    </row>
    <row r="88" spans="1:10" ht="14.45" customHeight="1" x14ac:dyDescent="0.25">
      <c r="A88" s="56"/>
      <c r="B88" s="12" t="s">
        <v>45</v>
      </c>
      <c r="C88" s="13"/>
      <c r="D88" s="14"/>
      <c r="E88" s="97">
        <v>2860268</v>
      </c>
      <c r="F88" s="97">
        <v>2619548</v>
      </c>
      <c r="G88" s="98">
        <v>1415753</v>
      </c>
      <c r="H88" s="36">
        <f>IF($H$56=Lists!$D$8, IFERROR(F88-E88, ""), IF($H$56=Lists!$D$9, IFERROR(G88-E88, ""), IFERROR(G88-F88, "")))</f>
        <v>-1203795</v>
      </c>
      <c r="I88" s="83"/>
      <c r="J88" s="57"/>
    </row>
    <row r="89" spans="1:10" x14ac:dyDescent="0.25">
      <c r="A89" s="56"/>
      <c r="B89" s="15" t="s">
        <v>46</v>
      </c>
      <c r="D89" s="16"/>
      <c r="E89" s="97">
        <v>36680</v>
      </c>
      <c r="F89" s="97">
        <v>0</v>
      </c>
      <c r="G89" s="98"/>
      <c r="H89" s="36">
        <f>IF($H$56=Lists!$D$8, IFERROR(F89-E89, ""), IF($H$56=Lists!$D$9, IFERROR(G89-E89, ""), IFERROR(G89-F89, "")))</f>
        <v>0</v>
      </c>
      <c r="I89" s="99"/>
      <c r="J89" s="57"/>
    </row>
    <row r="90" spans="1:10" x14ac:dyDescent="0.25">
      <c r="A90" s="56"/>
      <c r="B90" s="15" t="s">
        <v>47</v>
      </c>
      <c r="D90" s="16"/>
      <c r="E90" s="97">
        <v>20391773</v>
      </c>
      <c r="F90" s="97">
        <v>26754593</v>
      </c>
      <c r="G90" s="97">
        <v>12026184.5</v>
      </c>
      <c r="H90" s="37">
        <f>IF($H$56=Lists!$D$8, IFERROR(F90-E90, ""), IF($H$56=Lists!$D$9, IFERROR(G90-E90, ""), IFERROR(G90-F90, "")))</f>
        <v>-14728408.5</v>
      </c>
      <c r="I90" s="99"/>
      <c r="J90" s="57"/>
    </row>
    <row r="91" spans="1:10" x14ac:dyDescent="0.25">
      <c r="A91" s="56"/>
      <c r="B91" s="202" t="s">
        <v>51</v>
      </c>
      <c r="C91" s="203"/>
      <c r="D91" s="204"/>
      <c r="E91" s="38">
        <f>SUM(E88:E90)</f>
        <v>23288721</v>
      </c>
      <c r="F91" s="38">
        <f t="shared" ref="F91:G91" si="5">SUM(F88:F90)</f>
        <v>29374141</v>
      </c>
      <c r="G91" s="38">
        <f t="shared" si="5"/>
        <v>13441937.5</v>
      </c>
      <c r="H91" s="36">
        <f>IF($H$56=Lists!$D$8, IFERROR(F91-E91, ""), IF($H$56=Lists!$D$9, IFERROR(G91-E91, ""), IFERROR(G91-F91, "")))</f>
        <v>-15932203.5</v>
      </c>
      <c r="I91" s="100"/>
      <c r="J91" s="57"/>
    </row>
    <row r="92" spans="1:10" x14ac:dyDescent="0.25">
      <c r="A92" s="56"/>
      <c r="B92" s="15" t="s">
        <v>48</v>
      </c>
      <c r="D92" s="16"/>
      <c r="E92" s="97">
        <v>1167892</v>
      </c>
      <c r="F92" s="97">
        <v>1468708</v>
      </c>
      <c r="G92" s="98">
        <v>184261</v>
      </c>
      <c r="H92" s="36">
        <f>IF($H$56=Lists!$D$8, IFERROR(F92-E92, ""), IF($H$56=Lists!$D$9, IFERROR(G92-E92, ""), IFERROR(G92-F92, "")))</f>
        <v>-1284447</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2470118</v>
      </c>
      <c r="F94" s="97">
        <v>3145971</v>
      </c>
      <c r="G94" s="97">
        <v>1403498.45</v>
      </c>
      <c r="H94" s="36">
        <f>IF($H$56=Lists!$D$8, IFERROR(F94-E94, ""), IF($H$56=Lists!$D$9, IFERROR(G94-E94, ""), IFERROR(G94-F94, "")))</f>
        <v>-1742472.55</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5" t="s">
        <v>52</v>
      </c>
      <c r="C97" s="206"/>
      <c r="D97" s="207"/>
      <c r="E97" s="38">
        <f>SUM(E91:E96)</f>
        <v>26926731</v>
      </c>
      <c r="F97" s="38">
        <f t="shared" ref="F97:G97" si="6">SUM(F91:F96)</f>
        <v>33988820</v>
      </c>
      <c r="G97" s="38">
        <f t="shared" si="6"/>
        <v>15029696.949999999</v>
      </c>
      <c r="H97" s="39">
        <f>IF($H$56=Lists!$D$8, IFERROR(F97-E97, ""), IF($H$56=Lists!$D$9, IFERROR(G97-E97, ""), IFERROR(G97-F97, "")))</f>
        <v>-18959123.050000001</v>
      </c>
      <c r="I97" s="84"/>
      <c r="J97" s="57"/>
    </row>
    <row r="98" spans="1:10" ht="9.9499999999999993" customHeight="1" x14ac:dyDescent="0.25">
      <c r="A98" s="56"/>
      <c r="J98" s="57"/>
    </row>
    <row r="99" spans="1:10" x14ac:dyDescent="0.25">
      <c r="A99" s="56"/>
      <c r="B99" s="147" t="s">
        <v>16</v>
      </c>
      <c r="C99" s="148"/>
      <c r="D99" s="148"/>
      <c r="E99" s="148"/>
      <c r="F99" s="148"/>
      <c r="G99" s="148"/>
      <c r="H99" s="148"/>
      <c r="I99" s="149"/>
      <c r="J99" s="57"/>
    </row>
    <row r="100" spans="1:10" x14ac:dyDescent="0.25">
      <c r="A100" s="56"/>
      <c r="B100" s="40" t="s">
        <v>17</v>
      </c>
      <c r="D100" s="16"/>
      <c r="E100" s="101">
        <v>2452975</v>
      </c>
      <c r="F100" s="101">
        <v>2869703</v>
      </c>
      <c r="G100" s="102"/>
      <c r="H100" s="41">
        <f>IF($H$56=Lists!$D$8, IFERROR(F100-E100, ""), IF($H$56=Lists!$D$9, IFERROR(G100-E100, ""), IFERROR(G100-F100, "")))</f>
        <v>-2869703</v>
      </c>
      <c r="I100" s="103"/>
      <c r="J100" s="104"/>
    </row>
    <row r="101" spans="1:10" x14ac:dyDescent="0.25">
      <c r="A101" s="56"/>
      <c r="B101" s="40" t="s">
        <v>18</v>
      </c>
      <c r="D101" s="16"/>
      <c r="E101" s="101">
        <v>116444</v>
      </c>
      <c r="F101" s="101">
        <f>199745+9751</f>
        <v>209496</v>
      </c>
      <c r="G101" s="102">
        <f>42074.4</f>
        <v>42074.400000000001</v>
      </c>
      <c r="H101" s="41">
        <f>IF($H$56=Lists!$D$8, IFERROR(F101-E101, ""), IF($H$56=Lists!$D$9, IFERROR(G101-E101, ""), IFERROR(G101-F101, "")))</f>
        <v>-167421.6</v>
      </c>
      <c r="I101" s="103"/>
      <c r="J101" s="104"/>
    </row>
    <row r="102" spans="1:10" x14ac:dyDescent="0.25">
      <c r="A102" s="56"/>
      <c r="B102" s="40" t="s">
        <v>53</v>
      </c>
      <c r="D102" s="16"/>
      <c r="E102" s="97">
        <v>214600</v>
      </c>
      <c r="F102" s="97">
        <v>250832</v>
      </c>
      <c r="G102" s="98">
        <v>240380.67</v>
      </c>
      <c r="H102" s="42">
        <f>IF($H$56=Lists!$D$8, IFERROR(F102-E102, ""), IF($H$56=Lists!$D$9, IFERROR(G102-E102, ""), IFERROR(G102-F102, "")))</f>
        <v>-10451.329999999987</v>
      </c>
      <c r="I102" s="83"/>
      <c r="J102" s="57"/>
    </row>
    <row r="103" spans="1:10" x14ac:dyDescent="0.25">
      <c r="A103" s="56"/>
      <c r="B103" s="40" t="s">
        <v>147</v>
      </c>
      <c r="D103" s="16"/>
      <c r="E103" s="97">
        <v>1126600</v>
      </c>
      <c r="F103" s="97">
        <v>595320</v>
      </c>
      <c r="G103" s="105"/>
      <c r="H103" s="43">
        <f>IF($H$56=Lists!$D$8, IFERROR(F103-E103, ""), IF($H$56=Lists!$D$9, IFERROR(G103-E103, ""), IFERROR(G103-F103, "")))</f>
        <v>-595320</v>
      </c>
      <c r="I103" s="103"/>
      <c r="J103" s="104"/>
    </row>
    <row r="104" spans="1:10" ht="15.75" thickBot="1" x14ac:dyDescent="0.3">
      <c r="A104" s="56"/>
      <c r="B104" s="208" t="s">
        <v>54</v>
      </c>
      <c r="C104" s="209"/>
      <c r="D104" s="210"/>
      <c r="E104" s="44">
        <f>SUM(E100:E103)</f>
        <v>3910619</v>
      </c>
      <c r="F104" s="44">
        <f>SUM(F100:F103)</f>
        <v>3925351</v>
      </c>
      <c r="G104" s="44">
        <f>SUM(G100:G103)</f>
        <v>282455.07</v>
      </c>
      <c r="H104" s="39">
        <f>IF($H$56=Lists!$D$8, IFERROR(F104-E104, ""), IF($H$56=Lists!$D$9, IFERROR(G104-E104, ""), IFERROR(G104-F104, "")))</f>
        <v>-3642895.93</v>
      </c>
      <c r="I104" s="106"/>
      <c r="J104" s="104"/>
    </row>
    <row r="105" spans="1:10" ht="20.25" thickTop="1" thickBot="1" x14ac:dyDescent="0.35">
      <c r="A105" s="56"/>
      <c r="B105" s="107" t="s">
        <v>145</v>
      </c>
      <c r="C105" s="108"/>
      <c r="D105" s="108"/>
      <c r="E105" s="109">
        <f>SUM(E76,E85,E97,E104)</f>
        <v>34468124</v>
      </c>
      <c r="F105" s="109">
        <f>SUM(F76,F85,F97,F104)</f>
        <v>42187454</v>
      </c>
      <c r="G105" s="109">
        <f>SUM(G76,G85,G97,G104)</f>
        <v>18360531.199999999</v>
      </c>
      <c r="H105" s="109">
        <f>SUM(H76,H85,H97,H104)</f>
        <v>-23826922.800000001</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0" t="str">
        <f>IF(ReportType=Lists!$O$2, "", "Close-Out Information")</f>
        <v/>
      </c>
      <c r="C107" s="151"/>
      <c r="D107" s="151"/>
      <c r="E107" s="151"/>
      <c r="F107" s="151"/>
      <c r="G107" s="151"/>
      <c r="H107" s="151"/>
      <c r="I107" s="152"/>
      <c r="J107" s="61"/>
    </row>
    <row r="108" spans="1:10" s="1" customFormat="1" x14ac:dyDescent="0.25">
      <c r="A108" s="60"/>
      <c r="B108" s="47"/>
      <c r="C108" s="218"/>
      <c r="D108" s="218"/>
      <c r="E108" s="218" t="str">
        <f>IF(ReportType=Lists!$O$2, "", "NOTES")</f>
        <v/>
      </c>
      <c r="F108" s="218"/>
      <c r="G108" s="218"/>
      <c r="H108" s="218"/>
      <c r="I108" s="163"/>
      <c r="J108" s="61"/>
    </row>
    <row r="109" spans="1:10" ht="15" customHeight="1" x14ac:dyDescent="0.25">
      <c r="A109" s="56"/>
      <c r="B109" s="80" t="str">
        <f>IF(ReportType=Lists!$O$2, "", "Number of Change Orders")</f>
        <v/>
      </c>
      <c r="C109" s="211"/>
      <c r="D109" s="212"/>
      <c r="E109" s="215"/>
      <c r="F109" s="216"/>
      <c r="G109" s="216"/>
      <c r="H109" s="216"/>
      <c r="I109" s="217"/>
      <c r="J109" s="57"/>
    </row>
    <row r="110" spans="1:10" ht="15" customHeight="1" x14ac:dyDescent="0.25">
      <c r="A110" s="56"/>
      <c r="B110" s="80" t="str">
        <f>IF(ReportType=Lists!$O$2, "", "Total Value of Change Orders")</f>
        <v/>
      </c>
      <c r="C110" s="219"/>
      <c r="D110" s="220"/>
      <c r="E110" s="120"/>
      <c r="F110" s="121"/>
      <c r="G110" s="121"/>
      <c r="H110" s="121"/>
      <c r="I110" s="122"/>
      <c r="J110" s="57"/>
    </row>
    <row r="111" spans="1:10" ht="15" customHeight="1" x14ac:dyDescent="0.25">
      <c r="A111" s="56"/>
      <c r="B111" s="80" t="str">
        <f>IF(ReportType=Lists!$O$2, "", "Outstanding Liabilities")</f>
        <v/>
      </c>
      <c r="C111" s="219"/>
      <c r="D111" s="220"/>
      <c r="E111" s="120"/>
      <c r="F111" s="121"/>
      <c r="G111" s="121"/>
      <c r="H111" s="121"/>
      <c r="I111" s="122"/>
      <c r="J111" s="57"/>
    </row>
    <row r="112" spans="1:10"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220</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x14ac:dyDescent="0.25">
      <c r="A131" s="56"/>
      <c r="B131" s="196"/>
      <c r="C131" s="197"/>
      <c r="D131" s="197"/>
      <c r="E131" s="197"/>
      <c r="F131" s="197"/>
      <c r="G131" s="197"/>
      <c r="H131" s="197"/>
      <c r="I131" s="198"/>
      <c r="J131" s="57"/>
    </row>
    <row r="132" spans="1:10" x14ac:dyDescent="0.25">
      <c r="A132" s="56"/>
      <c r="B132" s="196"/>
      <c r="C132" s="197"/>
      <c r="D132" s="197"/>
      <c r="E132" s="197"/>
      <c r="F132" s="197"/>
      <c r="G132" s="197"/>
      <c r="H132" s="197"/>
      <c r="I132" s="198"/>
      <c r="J132" s="57"/>
    </row>
    <row r="133" spans="1:10" x14ac:dyDescent="0.25">
      <c r="A133" s="56"/>
      <c r="B133" s="196"/>
      <c r="C133" s="197"/>
      <c r="D133" s="197"/>
      <c r="E133" s="197"/>
      <c r="F133" s="197"/>
      <c r="G133" s="197"/>
      <c r="H133" s="197"/>
      <c r="I133" s="198"/>
      <c r="J133" s="57"/>
    </row>
    <row r="134" spans="1:10" ht="15.75" thickBot="1" x14ac:dyDescent="0.3">
      <c r="A134" s="56"/>
      <c r="B134" s="199"/>
      <c r="C134" s="200"/>
      <c r="D134" s="200"/>
      <c r="E134" s="200"/>
      <c r="F134" s="200"/>
      <c r="G134" s="200"/>
      <c r="H134" s="200"/>
      <c r="I134" s="20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2">
      <formula>CELL("PROTECT", A1)=0</formula>
    </cfRule>
  </conditionalFormatting>
  <conditionalFormatting sqref="A95:J99 A104:J109 A110:C111 E110:J111 A112:J135">
    <cfRule type="expression" dxfId="3" priority="11">
      <formula>CELL("PROTECT", A95)=0</formula>
    </cfRule>
  </conditionalFormatting>
  <conditionalFormatting sqref="A100:J103">
    <cfRule type="expression" dxfId="2" priority="1">
      <formula>CELL("PROTECT", A100)=0</formula>
    </cfRule>
  </conditionalFormatting>
  <conditionalFormatting sqref="E95:I96">
    <cfRule type="expression" dxfId="0" priority="1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A8777CB9-07DA-476B-BDDA-0E48EEFE15C3}"/>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160" zoomScaleNormal="100" workbookViewId="0">
      <selection activeCell="I184" sqref="I184"/>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204</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40000102 Lake Washington Institute of Technology Center for Design</dc:title>
  <dc:creator>Office of Financial Management;Christine Thomas</dc:creator>
  <cp:lastModifiedBy>Susan Locke</cp:lastModifiedBy>
  <cp:lastPrinted>2024-12-30T21:12:58Z</cp:lastPrinted>
  <dcterms:created xsi:type="dcterms:W3CDTF">2012-08-29T14:59:47Z</dcterms:created>
  <dcterms:modified xsi:type="dcterms:W3CDTF">2025-06-24T15:32:42Z</dcterms:modified>
</cp:coreProperties>
</file>