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31C6C9EE-D3E6-48F3-AC1C-87A92C4E3AAF}"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1" i="3" l="1"/>
  <c r="E95" i="3" l="1"/>
  <c r="E85" i="3"/>
  <c r="E44" i="3" l="1"/>
  <c r="E46" i="3" l="1"/>
  <c r="H95" i="3" l="1"/>
  <c r="E39" i="3" l="1"/>
  <c r="E38" i="3" s="1"/>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4" i="3"/>
  <c r="H93" i="3"/>
  <c r="H92" i="3"/>
  <c r="H90" i="3"/>
  <c r="H89" i="3"/>
  <c r="H88" i="3"/>
  <c r="H84" i="3"/>
  <c r="H83" i="3"/>
  <c r="H82" i="3"/>
  <c r="H80" i="3"/>
  <c r="H79" i="3"/>
  <c r="H76" i="3"/>
  <c r="H61" i="3"/>
  <c r="H60" i="3"/>
  <c r="H58" i="3"/>
  <c r="H57" i="3"/>
  <c r="H74" i="3" l="1"/>
  <c r="E59" i="3"/>
  <c r="F59" i="3"/>
  <c r="G59" i="3"/>
  <c r="H59" i="3" l="1"/>
  <c r="B96" i="3"/>
  <c r="B95" i="3"/>
  <c r="G74" i="3" l="1"/>
  <c r="G56" i="3"/>
  <c r="F97" i="3" l="1"/>
  <c r="E91" i="3"/>
  <c r="E97" i="3" s="1"/>
  <c r="H47" i="3" l="1"/>
  <c r="H46" i="3"/>
  <c r="H44" i="3"/>
  <c r="H42" i="3"/>
  <c r="H41" i="3"/>
  <c r="H39" i="3"/>
  <c r="H34" i="3"/>
  <c r="G43" i="3"/>
  <c r="F43" i="3"/>
  <c r="E43" i="3"/>
  <c r="D43" i="3"/>
  <c r="C43" i="3"/>
  <c r="G38" i="3"/>
  <c r="F38" i="3"/>
  <c r="D38" i="3"/>
  <c r="C38" i="3"/>
  <c r="D48" i="3" l="1"/>
  <c r="H43" i="3"/>
  <c r="H38" i="3"/>
  <c r="H33" i="3"/>
  <c r="C48" i="3"/>
  <c r="G48" i="3"/>
  <c r="F48" i="3"/>
  <c r="E48" i="3"/>
  <c r="F104" i="3"/>
  <c r="G104" i="3"/>
  <c r="H104" i="3" l="1"/>
  <c r="H48" i="3"/>
  <c r="F85" i="3" l="1"/>
  <c r="E104" i="3"/>
  <c r="E62" i="3" l="1"/>
  <c r="E105" i="3"/>
  <c r="E63" i="3"/>
  <c r="F105" i="3" l="1"/>
  <c r="G85" i="3"/>
  <c r="H81" i="3"/>
  <c r="H85" i="3" l="1"/>
  <c r="H91" i="3" l="1"/>
  <c r="G97" i="3"/>
  <c r="G62" i="3"/>
  <c r="H62" i="3" s="1"/>
  <c r="H97" i="3" l="1"/>
  <c r="H105" i="3" s="1"/>
  <c r="G63" i="3"/>
  <c r="H63" i="3" s="1"/>
  <c r="G105" i="3"/>
</calcChain>
</file>

<file path=xl/sharedStrings.xml><?xml version="1.0" encoding="utf-8"?>
<sst xmlns="http://schemas.openxmlformats.org/spreadsheetml/2006/main" count="254" uniqueCount="235">
  <si>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</si>
  <si>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</si>
  <si>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</si>
  <si>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</si>
  <si>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</si>
  <si>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</si>
  <si>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</si>
  <si>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</si>
  <si>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</si>
  <si>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</si>
  <si>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</si>
  <si>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</si>
  <si>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</si>
  <si>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</si>
  <si>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</si>
  <si>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</si>
  <si>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</si>
  <si>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</si>
  <si>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</si>
  <si>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</si>
  <si>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</si>
  <si>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</si>
  <si>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</si>
  <si>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</si>
  <si>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</si>
  <si>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</si>
  <si>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</si>
  <si>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</si>
  <si>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</si>
  <si>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</si>
  <si>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</si>
  <si>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</si>
  <si>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</si>
  <si>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</si>
  <si>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</si>
  <si>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</si>
  <si>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</si>
  <si>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</si>
  <si>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</si>
  <si>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</si>
  <si>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</si>
  <si>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</si>
  <si>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</si>
  <si>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</si>
  <si>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</si>
  <si>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</si>
  <si>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</si>
  <si>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</si>
  <si>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</si>
  <si>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</si>
  <si>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</si>
  <si>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</si>
  <si>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</si>
  <si>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</si>
  <si>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</si>
  <si>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</si>
  <si>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</si>
  <si>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</si>
  <si>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</si>
  <si>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</si>
  <si>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</si>
  <si>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</si>
  <si>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</si>
  <si>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</si>
  <si>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</si>
  <si>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</si>
  <si>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</si>
  <si>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</si>
  <si>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</si>
  <si>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</si>
  <si>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</si>
  <si>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</si>
  <si>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</si>
  <si>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</si>
  <si>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</si>
  <si>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</si>
  <si>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</si>
  <si>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</si>
  <si>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</si>
  <si>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</si>
  <si>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</si>
  <si>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</si>
  <si>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</si>
  <si>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</si>
  <si>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</si>
  <si>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</si>
  <si>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</si>
  <si>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</si>
  <si>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</si>
  <si>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</si>
  <si>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</si>
  <si>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</si>
  <si>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</si>
  <si>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</si>
  <si>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</si>
  <si>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</si>
  <si>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</si>
  <si>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</si>
  <si>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</si>
  <si>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</si>
  <si>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</si>
  <si>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</si>
  <si>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</si>
  <si>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</si>
  <si>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</si>
  <si>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</si>
  <si>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</si>
  <si>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</si>
  <si>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</si>
  <si>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</si>
  <si>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</si>
  <si>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</si>
  <si>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</si>
  <si>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</si>
  <si>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</si>
  <si>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</si>
  <si>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</si>
  <si>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</si>
  <si>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</si>
  <si>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</si>
  <si>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</si>
  <si>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</si>
  <si>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</si>
  <si>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</si>
  <si>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</si>
  <si>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</si>
  <si>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</si>
  <si>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</si>
  <si>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</si>
  <si>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</si>
  <si>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</si>
  <si>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</si>
  <si>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</si>
  <si>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</si>
  <si>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</si>
  <si>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</si>
  <si>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</si>
  <si>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</si>
  <si>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</si>
  <si>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</si>
  <si>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</si>
  <si>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</si>
  <si>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</si>
  <si>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</si>
  <si>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</si>
  <si>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</si>
  <si>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</si>
  <si>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</si>
  <si>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</si>
  <si>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</si>
  <si>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</si>
  <si>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</si>
  <si>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</si>
  <si>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</si>
  <si>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</si>
  <si>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</si>
  <si>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</si>
  <si>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</si>
  <si>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</si>
  <si>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</si>
  <si>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</si>
  <si>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</si>
  <si>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</si>
  <si>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</si>
  <si>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</si>
  <si>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</si>
  <si>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</si>
  <si>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</si>
  <si>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</si>
  <si>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</si>
  <si>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</si>
  <si>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</si>
  <si>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</si>
  <si>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</si>
  <si>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</si>
  <si>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</si>
  <si>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</si>
  <si>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</si>
  <si>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</si>
  <si>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</si>
  <si>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</si>
  <si>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</si>
  <si>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</si>
  <si>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</si>
  <si>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</si>
  <si>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</si>
  <si>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</si>
  <si>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</si>
  <si>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</si>
  <si>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</si>
  <si>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</si>
  <si>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</si>
  <si>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</si>
  <si>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</si>
  <si>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</si>
  <si>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</si>
  <si>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</si>
  <si>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</si>
  <si>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</si>
  <si>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</si>
  <si>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</si>
  <si>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</si>
  <si>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</si>
  <si>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</si>
  <si>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</si>
  <si>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</si>
  <si>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</si>
  <si>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</si>
  <si>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</si>
  <si>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</si>
  <si>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26V - Other State Funding</t>
  </si>
  <si>
    <t>K98</t>
  </si>
  <si>
    <t>C14</t>
  </si>
  <si>
    <t>A11 moved bal to C14</t>
  </si>
  <si>
    <t>WSST in "Other"</t>
  </si>
  <si>
    <t>DB Costs</t>
  </si>
  <si>
    <t>Christopher Butler</t>
  </si>
  <si>
    <t>425-564-2473</t>
  </si>
  <si>
    <t>christopher.butler@bellevuecollege.edu</t>
  </si>
  <si>
    <t>147 - Local Funds</t>
  </si>
  <si>
    <t>R641</t>
  </si>
  <si>
    <t>Extra Services (ESR) - Pre-Bid</t>
  </si>
  <si>
    <t>Additional Comments</t>
  </si>
  <si>
    <t>The W Building brings together Arts, Engineering, Computer Science and Digital Media all designed around a common "maker space" that will enable the college to carry out its mission of innovation through transdisciplinary education that leads to excellence.</t>
  </si>
  <si>
    <t>ESR 1 -8</t>
  </si>
  <si>
    <t>P&amp;W Pre. Mithun Validation Study</t>
  </si>
  <si>
    <t>Bellevue College Center for Transdisciplinary Center</t>
  </si>
  <si>
    <t>057  - State Bldg. Const Acct</t>
  </si>
  <si>
    <t>% of Bldg. Area that is being remodeled</t>
  </si>
  <si>
    <t>1) Overage due to $774,783.45 paid to Clark/LMN when project was abandoned. 2) See Amendment #4 re. max basic service adjustment from the PDB</t>
  </si>
  <si>
    <r>
      <t xml:space="preserve">Other Costs include design and construction Sales Tax, Owner Contingency, PDB Honorarium, Permitting and City Transportation impact fee.
WA Arts Commission December 2024. Artist selected (Arnette Jannotta) project in design phase.
Additional Other Cost of Forma Construction Utility potholing inspection of below-ground infrastructure layout and routing JOC </t>
    </r>
    <r>
      <rPr>
        <b/>
        <sz val="11"/>
        <color theme="1"/>
        <rFont val="Calibri"/>
        <family val="2"/>
        <scheme val="minor"/>
      </rPr>
      <t>$110,807.38</t>
    </r>
    <r>
      <rPr>
        <sz val="11"/>
        <color theme="1"/>
        <rFont val="Calibri"/>
        <family val="2"/>
        <scheme val="minor"/>
      </rPr>
      <t xml:space="preserve">.  AHU Relocation C Bldg. design and planning </t>
    </r>
    <r>
      <rPr>
        <b/>
        <sz val="11"/>
        <color theme="1"/>
        <rFont val="Calibri"/>
        <family val="2"/>
        <scheme val="minor"/>
      </rPr>
      <t>$51,000.00</t>
    </r>
    <r>
      <rPr>
        <sz val="11"/>
        <color theme="1"/>
        <rFont val="Calibri"/>
        <family val="2"/>
        <scheme val="minor"/>
      </rPr>
      <t xml:space="preserve">. KPFF Administration for State Environmental Protection Act (SEPA) </t>
    </r>
    <r>
      <rPr>
        <b/>
        <sz val="11"/>
        <color theme="1"/>
        <rFont val="Calibri"/>
        <family val="2"/>
        <scheme val="minor"/>
      </rPr>
      <t>$29,850.00</t>
    </r>
    <r>
      <rPr>
        <sz val="11"/>
        <color theme="1"/>
        <rFont val="Calibri"/>
        <family val="2"/>
        <scheme val="minor"/>
      </rPr>
      <t xml:space="preserve">. SHKS Department of Archaeology and Historic Preservation Services (DAHP) </t>
    </r>
    <r>
      <rPr>
        <b/>
        <sz val="11"/>
        <color theme="1"/>
        <rFont val="Calibri"/>
        <family val="2"/>
        <scheme val="minor"/>
      </rPr>
      <t>$37,000.00</t>
    </r>
    <r>
      <rPr>
        <sz val="11"/>
        <color theme="1"/>
        <rFont val="Calibri"/>
        <family val="2"/>
        <scheme val="minor"/>
      </rPr>
      <t xml:space="preserve">. IAA DES Support </t>
    </r>
    <r>
      <rPr>
        <b/>
        <sz val="11"/>
        <color theme="1"/>
        <rFont val="Calibri"/>
        <family val="2"/>
        <scheme val="minor"/>
      </rPr>
      <t>$89,888.00</t>
    </r>
    <r>
      <rPr>
        <sz val="11"/>
        <color theme="1"/>
        <rFont val="Calibri"/>
        <family val="2"/>
        <scheme val="minor"/>
      </rPr>
      <t xml:space="preserve">. Meng Analysis Constructability Review and Cost Analysis Services </t>
    </r>
    <r>
      <rPr>
        <b/>
        <sz val="11"/>
        <color theme="1"/>
        <rFont val="Calibri"/>
        <family val="2"/>
        <scheme val="minor"/>
      </rPr>
      <t>$113,926.00</t>
    </r>
    <r>
      <rPr>
        <sz val="11"/>
        <color theme="1"/>
        <rFont val="Calibri"/>
        <family val="2"/>
        <scheme val="minor"/>
      </rPr>
      <t xml:space="preserve">. Performance Validation Commissioning Services for Building Design and Construction as required for LEED V4 BD+C, 2018 Washington State Energy Code, Commercial Provisions (WSECCP) and building systems </t>
    </r>
    <r>
      <rPr>
        <b/>
        <sz val="11"/>
        <color theme="1"/>
        <rFont val="Calibri"/>
        <family val="2"/>
        <scheme val="minor"/>
      </rPr>
      <t>$25,620.00</t>
    </r>
    <r>
      <rPr>
        <sz val="11"/>
        <color theme="1"/>
        <rFont val="Calibri"/>
        <family val="2"/>
        <scheme val="minor"/>
      </rPr>
      <t xml:space="preserve">. Krazan &amp; Associates to provide Special Inspections for Structural Elements </t>
    </r>
    <r>
      <rPr>
        <b/>
        <sz val="11"/>
        <color theme="1"/>
        <rFont val="Calibri"/>
        <family val="2"/>
        <scheme val="minor"/>
      </rPr>
      <t>$9,390.00</t>
    </r>
    <r>
      <rPr>
        <sz val="11"/>
        <color theme="1"/>
        <rFont val="Calibri"/>
        <family val="2"/>
        <scheme val="minor"/>
      </rPr>
      <t xml:space="preserve">. PBS Engineering &amp; Environmental to provide Hazardous Material Inspection services </t>
    </r>
    <r>
      <rPr>
        <b/>
        <sz val="11"/>
        <color theme="1"/>
        <rFont val="Calibri"/>
        <family val="2"/>
        <scheme val="minor"/>
      </rPr>
      <t>$7,725.00</t>
    </r>
    <r>
      <rPr>
        <sz val="11"/>
        <color theme="1"/>
        <rFont val="Calibri"/>
        <family val="2"/>
        <scheme val="minor"/>
      </rPr>
      <t xml:space="preserve">. Validation Study Mithun </t>
    </r>
    <r>
      <rPr>
        <b/>
        <sz val="11"/>
        <color theme="1"/>
        <rFont val="Calibri"/>
        <family val="2"/>
        <scheme val="minor"/>
      </rPr>
      <t>$149,180.00.</t>
    </r>
  </si>
  <si>
    <t>June 2025</t>
  </si>
  <si>
    <t>June 5, 2025 UPDATE: Substantial completion anticipated October 2026 instead of 9/11/2026.</t>
  </si>
  <si>
    <t>June 5, 2025 UPDATE: DES issued notice to proceed for April 14, 2025.</t>
  </si>
  <si>
    <t>Bid set and specifications were complete November 4, 2024.  Invitation to bid was published on November 14, 2024 with bids due January 14, 2025. Site walks with potential bidders were scheduled on December 4 and December 17, 2024. The building permit is expected to be received by mid-May 2025. Because the contractor will already be engaged, demolition would begin soon after the building permit is released. Ribbon-cutting is scheduled on May 15, 2025. UPDATE June 10,2025: Ground breaking ceremony held on May 15, 2025. Permits received and demolition of greenhouse completed and demolition of existing building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</si>
</sst>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b/>
      <sz val="11"/>
      <color rgb="FFFF0000"/>
      <name val="Calibri"/>
      <family val="2"/>
      <scheme val="minor"/>
    </font>
    <font>
      <sz val="8"/>
      <name val="Calibri"/>
      <family val="2"/>
      <scheme val="minor"/>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5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44" fontId="1" fillId="0" borderId="12" xfId="2" applyFont="1" applyFill="1" applyBorder="1" applyAlignment="1" applyProtection="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0" fillId="3" borderId="10" xfId="1" applyNumberFormat="1" applyFont="1" applyFill="1" applyBorder="1" applyAlignment="1" applyProtection="1">
      <protection locked="0"/>
    </xf>
    <xf numFmtId="3" fontId="7" fillId="3" borderId="0" xfId="0" applyNumberFormat="1" applyFont="1" applyFill="1"/>
    <xf numFmtId="169" fontId="0" fillId="0" borderId="11" xfId="1" applyNumberFormat="1" applyFont="1" applyFill="1" applyBorder="1" applyAlignment="1" applyProtection="1">
      <protection locked="0"/>
    </xf>
    <xf numFmtId="0" fontId="0" fillId="3" borderId="12" xfId="0" applyFill="1" applyBorder="1"/>
    <xf numFmtId="44" fontId="0" fillId="3" borderId="12" xfId="2" applyFont="1" applyFill="1" applyBorder="1"/>
    <xf numFmtId="14" fontId="4" fillId="0" borderId="10" xfId="0" applyNumberFormat="1" applyFont="1" applyBorder="1" applyAlignment="1" applyProtection="1">
      <alignment horizontal="center"/>
      <protection locked="0"/>
    </xf>
    <xf numFmtId="0" fontId="0" fillId="3" borderId="10" xfId="0" applyFill="1" applyBorder="1" applyAlignment="1">
      <alignment horizontal="center"/>
    </xf>
    <xf numFmtId="0" fontId="0" fillId="3" borderId="0" xfId="0" applyFill="1"/>
    <xf numFmtId="44" fontId="0" fillId="3" borderId="12" xfId="2" applyFont="1" applyFill="1" applyBorder="1" applyAlignment="1" applyProtection="1">
      <alignment horizontal="center"/>
    </xf>
    <xf numFmtId="44" fontId="0" fillId="3" borderId="10" xfId="2" applyFont="1" applyFill="1" applyBorder="1" applyAlignment="1" applyProtection="1"/>
    <xf numFmtId="42" fontId="2" fillId="3" borderId="10" xfId="0" applyNumberFormat="1" applyFont="1" applyFill="1" applyBorder="1"/>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165" fontId="4" fillId="3" borderId="13" xfId="0" applyNumberFormat="1" applyFont="1" applyFill="1" applyBorder="1" applyAlignment="1">
      <alignment horizontal="center"/>
    </xf>
    <xf numFmtId="165" fontId="0" fillId="3" borderId="12" xfId="0" applyNumberFormat="1" applyFill="1" applyBorder="1" applyAlignment="1">
      <alignment horizontal="center"/>
    </xf>
    <xf numFmtId="165" fontId="4" fillId="3" borderId="12" xfId="0" applyNumberFormat="1" applyFont="1" applyFill="1" applyBorder="1" applyAlignment="1">
      <alignment horizontal="center"/>
    </xf>
    <xf numFmtId="166" fontId="0" fillId="3" borderId="12" xfId="2" applyNumberFormat="1" applyFont="1" applyFill="1" applyBorder="1" applyAlignment="1" applyProtection="1">
      <alignment horizontal="center"/>
    </xf>
    <xf numFmtId="165" fontId="2" fillId="3" borderId="12" xfId="0" applyNumberFormat="1" applyFont="1" applyFill="1" applyBorder="1" applyAlignment="1">
      <alignment horizontal="center"/>
    </xf>
    <xf numFmtId="43" fontId="1" fillId="3" borderId="12" xfId="1" applyFont="1" applyFill="1" applyBorder="1" applyAlignment="1" applyProtection="1">
      <alignment horizontal="center"/>
    </xf>
    <xf numFmtId="169" fontId="1" fillId="3" borderId="12" xfId="1" applyNumberFormat="1" applyFont="1" applyFill="1" applyBorder="1" applyAlignment="1" applyProtection="1">
      <alignment horizontal="center"/>
    </xf>
    <xf numFmtId="168" fontId="2" fillId="0" borderId="10" xfId="1" applyNumberFormat="1" applyFont="1" applyFill="1" applyBorder="1" applyAlignment="1" applyProtection="1">
      <alignment wrapText="1"/>
    </xf>
    <xf numFmtId="166" fontId="2" fillId="3" borderId="12" xfId="0" quotePrefix="1" applyNumberFormat="1" applyFont="1" applyFill="1" applyBorder="1" applyAlignment="1">
      <alignment horizontal="right"/>
    </xf>
    <xf numFmtId="8" fontId="7" fillId="3" borderId="12" xfId="0" applyNumberFormat="1" applyFont="1" applyFill="1" applyBorder="1"/>
    <xf numFmtId="165" fontId="15" fillId="0" borderId="10" xfId="2" applyNumberFormat="1" applyFont="1" applyFill="1" applyBorder="1" applyAlignment="1" applyProtection="1">
      <protection locked="0"/>
    </xf>
    <xf numFmtId="4" fontId="0" fillId="3" borderId="0" xfId="0" applyNumberFormat="1" applyFill="1"/>
    <xf numFmtId="7" fontId="0" fillId="0" borderId="10"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15" xfId="0" applyNumberFormat="1" applyFont="1" applyBorder="1" applyAlignment="1" applyProtection="1">
      <alignment horizontal="left" vertical="top" wrapText="1"/>
      <protection locked="0"/>
    </xf>
    <xf numFmtId="49" fontId="4" fillId="0" borderId="16" xfId="0" applyNumberFormat="1" applyFont="1" applyBorder="1" applyAlignment="1" applyProtection="1">
      <alignment horizontal="left" vertical="top" wrapText="1"/>
      <protection locked="0"/>
    </xf>
    <xf numFmtId="49" fontId="4" fillId="0" borderId="17" xfId="0" applyNumberFormat="1" applyFont="1" applyBorder="1" applyAlignment="1" applyProtection="1">
      <alignment horizontal="left" vertical="top" wrapText="1"/>
      <protection locked="0"/>
    </xf>
    <xf numFmtId="49" fontId="4" fillId="0" borderId="18" xfId="0" applyNumberFormat="1" applyFont="1" applyBorder="1" applyAlignment="1" applyProtection="1">
      <alignment horizontal="left" vertical="top" wrapText="1"/>
      <protection locked="0"/>
    </xf>
    <xf numFmtId="49" fontId="4" fillId="0" borderId="19" xfId="0" applyNumberFormat="1" applyFont="1" applyBorder="1" applyAlignment="1" applyProtection="1">
      <alignment horizontal="left" vertical="top" wrapText="1"/>
      <protection locked="0"/>
    </xf>
    <xf numFmtId="49" fontId="4" fillId="0" borderId="20" xfId="0" applyNumberFormat="1" applyFont="1" applyBorder="1" applyAlignment="1" applyProtection="1">
      <alignment horizontal="left" vertical="top" wrapText="1"/>
      <protection locked="0"/>
    </xf>
    <xf numFmtId="49" fontId="4" fillId="0" borderId="21" xfId="0" applyNumberFormat="1" applyFon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xf numFmtId="14" fontId="4" fillId="0" borderId="12" xfId="0" applyNumberFormat="1" applyFont="1" applyBorder="1" applyAlignment="1" applyProtection="1">
      <alignment horizontal="center"/>
      <protection locked="0"/>
    </xf>
    <xf numFmtId="43" fontId="4" fillId="0" borderId="12" xfId="1" applyFont="1" applyFill="1" applyBorder="1" applyAlignment="1" applyProtection="1">
      <alignment horizontal="center"/>
    </xf>
    <xf numFmtId="0" fontId="0" fillId="0" borderId="33" xfId="0" applyFill="1" applyBorder="1"/>
    <xf numFmtId="0" fontId="0" fillId="0" borderId="17" xfId="0" applyFill="1" applyBorder="1"/>
    <xf numFmtId="0" fontId="0" fillId="0" borderId="0" xfId="0" applyFill="1"/>
    <xf numFmtId="0" fontId="0" fillId="0" borderId="18" xfId="0" applyFill="1" applyBorder="1"/>
    <xf numFmtId="166" fontId="0" fillId="0" borderId="10" xfId="2" applyNumberFormat="1" applyFont="1" applyFill="1" applyBorder="1" applyAlignment="1" applyProtection="1"/>
    <xf numFmtId="0" fontId="0" fillId="0" borderId="10" xfId="0" applyFill="1" applyBorder="1" applyAlignment="1" applyProtection="1">
      <alignment horizontal="left"/>
      <protection locked="0"/>
    </xf>
    <xf numFmtId="0" fontId="0" fillId="0" borderId="34" xfId="0" applyFill="1" applyBorder="1"/>
    <xf numFmtId="49" fontId="4" fillId="0" borderId="0" xfId="0" applyNumberFormat="1" applyFont="1" applyBorder="1" applyAlignment="1" applyProtection="1">
      <alignment horizontal="left" vertical="top" wrapText="1"/>
      <protection locked="0"/>
    </xf>
    <xf numFmtId="0" fontId="16" fillId="0" borderId="10" xfId="0" applyFont="1" applyBorder="1" applyAlignment="1" applyProtection="1">
      <alignment horizontal="left" wrapText="1"/>
      <protection locked="0"/>
    </xf>
    <xf numFmtId="0" fontId="17" fillId="0" borderId="10" xfId="0" applyFont="1" applyBorder="1" applyAlignment="1" applyProtection="1">
      <alignment horizontal="center" vertical="top" wrapText="1"/>
      <protection locked="0"/>
    </xf>
  </cellXfs>
  <cellStyles count="5">
    <cellStyle name="Comma" xfId="1" builtinId="3"/>
    <cellStyle name="Currency" xfId="2" builtinId="4"/>
    <cellStyle name="Hyperlink" xfId="4" builtinId="8"/>
    <cellStyle name="Normal" xfId="0" builtinId="0"/>
    <cellStyle name="Percent" xfId="3" builtinId="5"/>
  </cellStyles>
  <dxfs count="7">
    <dxf>
      <fill>
        <patternFill>
          <bgColor rgb="FFCCFFFF"/>
        </patternFill>
      </fill>
    </dxf>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295786</xdr:colOff>
      <xdr:row>5</xdr:row>
      <xdr:rowOff>70473</xdr:rowOff>
    </xdr:from>
    <xdr:to>
      <xdr:col>5</xdr:col>
      <xdr:colOff>541547</xdr:colOff>
      <xdr:row>19</xdr:row>
      <xdr:rowOff>169555</xdr:rowOff>
    </xdr:to>
    <xdr:pic>
      <xdr:nvPicPr>
        <xdr:cNvPr id="2" name="Picture 1" descr="Hallway">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4986" y="946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600075</xdr:colOff>
      <xdr:row>5</xdr:row>
      <xdr:rowOff>155004</xdr:rowOff>
    </xdr:from>
    <xdr:to>
      <xdr:col>16</xdr:col>
      <xdr:colOff>237259</xdr:colOff>
      <xdr:row>19</xdr:row>
      <xdr:rowOff>85024</xdr:rowOff>
    </xdr:to>
    <xdr:pic>
      <xdr:nvPicPr>
        <xdr:cNvPr id="17" name="Picture 16" descr="Aerial">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86450" y="1031304"/>
          <a:ext cx="3904384" cy="25970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600075</xdr:colOff>
      <xdr:row>26</xdr:row>
      <xdr:rowOff>152053</xdr:rowOff>
    </xdr:from>
    <xdr:to>
      <xdr:col>7</xdr:col>
      <xdr:colOff>237259</xdr:colOff>
      <xdr:row>40</xdr:row>
      <xdr:rowOff>87975</xdr:rowOff>
    </xdr:to>
    <xdr:pic>
      <xdr:nvPicPr>
        <xdr:cNvPr id="19" name="Picture 18" descr="Aerial ">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0075" y="5028853"/>
          <a:ext cx="3904384" cy="2602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600075</xdr:colOff>
      <xdr:row>26</xdr:row>
      <xdr:rowOff>152053</xdr:rowOff>
    </xdr:from>
    <xdr:to>
      <xdr:col>16</xdr:col>
      <xdr:colOff>237259</xdr:colOff>
      <xdr:row>40</xdr:row>
      <xdr:rowOff>87975</xdr:rowOff>
    </xdr:to>
    <xdr:pic>
      <xdr:nvPicPr>
        <xdr:cNvPr id="21" name="Picture 20" descr="Aerial ">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886450" y="5028853"/>
          <a:ext cx="3904384" cy="2602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600075</xdr:colOff>
      <xdr:row>47</xdr:row>
      <xdr:rowOff>152053</xdr:rowOff>
    </xdr:from>
    <xdr:to>
      <xdr:col>7</xdr:col>
      <xdr:colOff>237259</xdr:colOff>
      <xdr:row>61</xdr:row>
      <xdr:rowOff>87975</xdr:rowOff>
    </xdr:to>
    <xdr:pic>
      <xdr:nvPicPr>
        <xdr:cNvPr id="23" name="Picture 22" descr="Aerial ">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0075" y="9029353"/>
          <a:ext cx="3904384" cy="2602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295786</xdr:colOff>
      <xdr:row>47</xdr:row>
      <xdr:rowOff>70473</xdr:rowOff>
    </xdr:from>
    <xdr:to>
      <xdr:col>14</xdr:col>
      <xdr:colOff>541547</xdr:colOff>
      <xdr:row>61</xdr:row>
      <xdr:rowOff>169555</xdr:rowOff>
    </xdr:to>
    <xdr:pic>
      <xdr:nvPicPr>
        <xdr:cNvPr id="25" name="Picture 24" descr="Stairs">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801361"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topher.butler@bellevuecolleg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20" workbookViewId="0">
      <selection activeCell="A11" sqref="A11:XFD11"/>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47"/>
      <c r="B1" s="149" t="s">
        <v>176</v>
      </c>
      <c r="C1" s="149"/>
      <c r="D1" s="149"/>
      <c r="E1" s="149"/>
      <c r="F1" s="149"/>
      <c r="G1" s="149"/>
      <c r="H1" s="149"/>
      <c r="I1" s="149"/>
      <c r="J1" s="149"/>
      <c r="K1" s="149"/>
      <c r="L1" s="48"/>
    </row>
    <row r="2" spans="1:12" ht="21.75" thickBot="1" x14ac:dyDescent="0.4">
      <c r="A2" s="84"/>
      <c r="B2" s="150" t="s">
        <v>177</v>
      </c>
      <c r="C2" s="150"/>
      <c r="D2" s="150"/>
      <c r="E2" s="150"/>
      <c r="F2" s="150"/>
      <c r="G2" s="150"/>
      <c r="H2" s="150"/>
      <c r="I2" s="150"/>
      <c r="J2" s="150"/>
      <c r="K2" s="150"/>
      <c r="L2" s="86"/>
    </row>
    <row r="3" spans="1:12" ht="15.75" thickTop="1" x14ac:dyDescent="0.25"/>
    <row r="4" spans="1:12" ht="15.75" x14ac:dyDescent="0.25">
      <c r="B4" s="114" t="s">
        <v>181</v>
      </c>
      <c r="C4" s="13"/>
      <c r="D4" s="13"/>
      <c r="E4" s="13"/>
      <c r="F4" s="13"/>
      <c r="G4" s="13"/>
      <c r="H4" s="13"/>
      <c r="I4" s="13"/>
      <c r="J4" s="13"/>
      <c r="K4" s="14"/>
    </row>
    <row r="5" spans="1:12" ht="15.75" customHeight="1" x14ac:dyDescent="0.25">
      <c r="B5" s="151" t="s">
        <v>180</v>
      </c>
      <c r="C5" s="147"/>
      <c r="D5" s="147"/>
      <c r="E5" s="147"/>
      <c r="F5" s="147"/>
      <c r="G5" s="147"/>
      <c r="H5" s="147"/>
      <c r="I5" s="147"/>
      <c r="J5" s="147"/>
      <c r="K5" s="148"/>
    </row>
    <row r="6" spans="1:12" x14ac:dyDescent="0.25">
      <c r="B6" s="151"/>
      <c r="C6" s="147"/>
      <c r="D6" s="147"/>
      <c r="E6" s="147"/>
      <c r="F6" s="147"/>
      <c r="G6" s="147"/>
      <c r="H6" s="147"/>
      <c r="I6" s="147"/>
      <c r="J6" s="147"/>
      <c r="K6" s="148"/>
    </row>
    <row r="7" spans="1:12" x14ac:dyDescent="0.25">
      <c r="B7" s="151"/>
      <c r="C7" s="147"/>
      <c r="D7" s="147"/>
      <c r="E7" s="147"/>
      <c r="F7" s="147"/>
      <c r="G7" s="147"/>
      <c r="H7" s="147"/>
      <c r="I7" s="147"/>
      <c r="J7" s="147"/>
      <c r="K7" s="148"/>
    </row>
    <row r="8" spans="1:12" x14ac:dyDescent="0.25">
      <c r="B8" s="151"/>
      <c r="C8" s="147"/>
      <c r="D8" s="147"/>
      <c r="E8" s="147"/>
      <c r="F8" s="147"/>
      <c r="G8" s="147"/>
      <c r="H8" s="147"/>
      <c r="I8" s="147"/>
      <c r="J8" s="147"/>
      <c r="K8" s="148"/>
    </row>
    <row r="9" spans="1:12" x14ac:dyDescent="0.25">
      <c r="B9" s="151"/>
      <c r="C9" s="147"/>
      <c r="D9" s="147"/>
      <c r="E9" s="147"/>
      <c r="F9" s="147"/>
      <c r="G9" s="147"/>
      <c r="H9" s="147"/>
      <c r="I9" s="147"/>
      <c r="J9" s="147"/>
      <c r="K9" s="148"/>
    </row>
    <row r="10" spans="1:12" ht="9" customHeight="1" x14ac:dyDescent="0.25">
      <c r="B10" s="151"/>
      <c r="C10" s="147"/>
      <c r="D10" s="147"/>
      <c r="E10" s="147"/>
      <c r="F10" s="147"/>
      <c r="G10" s="147"/>
      <c r="H10" s="147"/>
      <c r="I10" s="147"/>
      <c r="J10" s="147"/>
      <c r="K10" s="148"/>
    </row>
    <row r="11" spans="1:12" x14ac:dyDescent="0.25">
      <c r="B11" s="151" t="s">
        <v>179</v>
      </c>
      <c r="C11" s="147"/>
      <c r="D11" s="147"/>
      <c r="E11" s="147"/>
      <c r="F11" s="147"/>
      <c r="G11" s="147"/>
      <c r="H11" s="147"/>
      <c r="I11" s="147"/>
      <c r="J11" s="147"/>
      <c r="K11" s="148"/>
    </row>
    <row r="12" spans="1:12" x14ac:dyDescent="0.25">
      <c r="B12" s="151"/>
      <c r="C12" s="147"/>
      <c r="D12" s="147"/>
      <c r="E12" s="147"/>
      <c r="F12" s="147"/>
      <c r="G12" s="147"/>
      <c r="H12" s="147"/>
      <c r="I12" s="147"/>
      <c r="J12" s="147"/>
      <c r="K12" s="148"/>
    </row>
    <row r="13" spans="1:12" x14ac:dyDescent="0.25">
      <c r="B13" s="151"/>
      <c r="C13" s="147"/>
      <c r="D13" s="147"/>
      <c r="E13" s="147"/>
      <c r="F13" s="147"/>
      <c r="G13" s="147"/>
      <c r="H13" s="147"/>
      <c r="I13" s="147"/>
      <c r="J13" s="147"/>
      <c r="K13" s="148"/>
    </row>
    <row r="14" spans="1:12" x14ac:dyDescent="0.25">
      <c r="B14" s="151"/>
      <c r="C14" s="147"/>
      <c r="D14" s="147"/>
      <c r="E14" s="147"/>
      <c r="F14" s="147"/>
      <c r="G14" s="147"/>
      <c r="H14" s="147"/>
      <c r="I14" s="147"/>
      <c r="J14" s="147"/>
      <c r="K14" s="148"/>
    </row>
    <row r="15" spans="1:12" x14ac:dyDescent="0.25">
      <c r="B15" s="151"/>
      <c r="C15" s="147"/>
      <c r="D15" s="147"/>
      <c r="E15" s="147"/>
      <c r="F15" s="147"/>
      <c r="G15" s="147"/>
      <c r="H15" s="147"/>
      <c r="I15" s="147"/>
      <c r="J15" s="147"/>
      <c r="K15" s="148"/>
    </row>
    <row r="16" spans="1:12" x14ac:dyDescent="0.25">
      <c r="B16" s="151"/>
      <c r="C16" s="147"/>
      <c r="D16" s="147"/>
      <c r="E16" s="147"/>
      <c r="F16" s="147"/>
      <c r="G16" s="147"/>
      <c r="H16" s="147"/>
      <c r="I16" s="147"/>
      <c r="J16" s="147"/>
      <c r="K16" s="148"/>
    </row>
    <row r="17" spans="2:11" ht="9" customHeight="1" x14ac:dyDescent="0.25">
      <c r="B17" s="15"/>
      <c r="K17" s="16"/>
    </row>
    <row r="18" spans="2:11" ht="15" customHeight="1" x14ac:dyDescent="0.25">
      <c r="B18" s="151" t="s">
        <v>182</v>
      </c>
      <c r="C18" s="147"/>
      <c r="D18" s="147"/>
      <c r="E18" s="147"/>
      <c r="F18" s="147"/>
      <c r="G18" s="147"/>
      <c r="H18" s="147"/>
      <c r="I18" s="147"/>
      <c r="J18" s="147"/>
      <c r="K18" s="148"/>
    </row>
    <row r="19" spans="2:11" x14ac:dyDescent="0.25">
      <c r="B19" s="151"/>
      <c r="C19" s="147"/>
      <c r="D19" s="147"/>
      <c r="E19" s="147"/>
      <c r="F19" s="147"/>
      <c r="G19" s="147"/>
      <c r="H19" s="147"/>
      <c r="I19" s="147"/>
      <c r="J19" s="147"/>
      <c r="K19" s="148"/>
    </row>
    <row r="20" spans="2:11" x14ac:dyDescent="0.25">
      <c r="B20" s="151"/>
      <c r="C20" s="147"/>
      <c r="D20" s="147"/>
      <c r="E20" s="147"/>
      <c r="F20" s="147"/>
      <c r="G20" s="147"/>
      <c r="H20" s="147"/>
      <c r="I20" s="147"/>
      <c r="J20" s="147"/>
      <c r="K20" s="148"/>
    </row>
    <row r="21" spans="2:11" ht="9" customHeight="1" x14ac:dyDescent="0.25">
      <c r="B21" s="152"/>
      <c r="C21" s="153"/>
      <c r="D21" s="153"/>
      <c r="E21" s="153"/>
      <c r="F21" s="153"/>
      <c r="G21" s="153"/>
      <c r="H21" s="153"/>
      <c r="I21" s="153"/>
      <c r="J21" s="153"/>
      <c r="K21" s="154"/>
    </row>
    <row r="23" spans="2:11" ht="15.75" x14ac:dyDescent="0.25">
      <c r="B23" s="114" t="s">
        <v>178</v>
      </c>
      <c r="C23" s="13"/>
      <c r="D23" s="13"/>
      <c r="E23" s="13"/>
      <c r="F23" s="13"/>
      <c r="G23" s="13"/>
      <c r="H23" s="13"/>
      <c r="I23" s="13"/>
      <c r="J23" s="13"/>
      <c r="K23" s="14"/>
    </row>
    <row r="24" spans="2:11" x14ac:dyDescent="0.25">
      <c r="B24" s="151" t="s">
        <v>193</v>
      </c>
      <c r="C24" s="147"/>
      <c r="D24" s="147"/>
      <c r="E24" s="147"/>
      <c r="F24" s="147"/>
      <c r="G24" s="147"/>
      <c r="H24" s="147"/>
      <c r="I24" s="147"/>
      <c r="J24" s="147"/>
      <c r="K24" s="148"/>
    </row>
    <row r="25" spans="2:11" x14ac:dyDescent="0.25">
      <c r="B25" s="151"/>
      <c r="C25" s="147"/>
      <c r="D25" s="147"/>
      <c r="E25" s="147"/>
      <c r="F25" s="147"/>
      <c r="G25" s="147"/>
      <c r="H25" s="147"/>
      <c r="I25" s="147"/>
      <c r="J25" s="147"/>
      <c r="K25" s="148"/>
    </row>
    <row r="26" spans="2:11" x14ac:dyDescent="0.25">
      <c r="B26" s="151"/>
      <c r="C26" s="147"/>
      <c r="D26" s="147"/>
      <c r="E26" s="147"/>
      <c r="F26" s="147"/>
      <c r="G26" s="147"/>
      <c r="H26" s="147"/>
      <c r="I26" s="147"/>
      <c r="J26" s="147"/>
      <c r="K26" s="148"/>
    </row>
    <row r="27" spans="2:11" x14ac:dyDescent="0.25">
      <c r="B27" s="151"/>
      <c r="C27" s="147"/>
      <c r="D27" s="147"/>
      <c r="E27" s="147"/>
      <c r="F27" s="147"/>
      <c r="G27" s="147"/>
      <c r="H27" s="147"/>
      <c r="I27" s="147"/>
      <c r="J27" s="147"/>
      <c r="K27" s="148"/>
    </row>
    <row r="28" spans="2:11" ht="9" customHeight="1" x14ac:dyDescent="0.25">
      <c r="B28" s="15"/>
      <c r="K28" s="16"/>
    </row>
    <row r="29" spans="2:11" x14ac:dyDescent="0.25">
      <c r="B29" s="155" t="s">
        <v>183</v>
      </c>
      <c r="C29" s="156"/>
      <c r="D29" s="156"/>
      <c r="E29" s="156"/>
      <c r="F29" s="156"/>
      <c r="G29" s="156"/>
      <c r="H29" s="156"/>
      <c r="I29" s="156"/>
      <c r="J29" s="156"/>
      <c r="K29" s="157"/>
    </row>
    <row r="30" spans="2:11" ht="9.75" customHeight="1" x14ac:dyDescent="0.25">
      <c r="B30" s="18"/>
      <c r="C30" s="19"/>
      <c r="D30" s="19"/>
      <c r="E30" s="19"/>
      <c r="F30" s="19"/>
      <c r="G30" s="19"/>
      <c r="H30" s="19"/>
      <c r="I30" s="19"/>
      <c r="J30" s="19"/>
      <c r="K30" s="20"/>
    </row>
    <row r="31" spans="2:11" ht="9" customHeight="1" x14ac:dyDescent="0.25"/>
    <row r="32" spans="2:11" ht="15.75" x14ac:dyDescent="0.25">
      <c r="B32" s="114" t="s">
        <v>184</v>
      </c>
      <c r="C32" s="13"/>
      <c r="D32" s="13"/>
      <c r="E32" s="13"/>
      <c r="F32" s="13"/>
      <c r="G32" s="13"/>
      <c r="H32" s="13"/>
      <c r="I32" s="13"/>
      <c r="J32" s="13"/>
      <c r="K32" s="14"/>
    </row>
    <row r="33" spans="2:11" x14ac:dyDescent="0.25">
      <c r="B33" s="15" t="s">
        <v>187</v>
      </c>
      <c r="C33" t="s">
        <v>185</v>
      </c>
      <c r="K33" s="16"/>
    </row>
    <row r="34" spans="2:11" ht="15" customHeight="1" x14ac:dyDescent="0.25">
      <c r="B34" s="15" t="s">
        <v>188</v>
      </c>
      <c r="C34" s="147" t="s">
        <v>186</v>
      </c>
      <c r="D34" s="147"/>
      <c r="E34" s="147"/>
      <c r="F34" s="147"/>
      <c r="G34" s="147"/>
      <c r="H34" s="147"/>
      <c r="I34" s="147"/>
      <c r="J34" s="147"/>
      <c r="K34" s="148"/>
    </row>
    <row r="35" spans="2:11" x14ac:dyDescent="0.25">
      <c r="B35" s="119"/>
      <c r="C35" s="147"/>
      <c r="D35" s="147"/>
      <c r="E35" s="147"/>
      <c r="F35" s="147"/>
      <c r="G35" s="147"/>
      <c r="H35" s="147"/>
      <c r="I35" s="147"/>
      <c r="J35" s="147"/>
      <c r="K35" s="148"/>
    </row>
    <row r="36" spans="2:11" x14ac:dyDescent="0.25">
      <c r="B36" s="119"/>
      <c r="C36" s="147"/>
      <c r="D36" s="147"/>
      <c r="E36" s="147"/>
      <c r="F36" s="147"/>
      <c r="G36" s="147"/>
      <c r="H36" s="147"/>
      <c r="I36" s="147"/>
      <c r="J36" s="147"/>
      <c r="K36" s="148"/>
    </row>
    <row r="37" spans="2:11" ht="15" customHeight="1" x14ac:dyDescent="0.25">
      <c r="B37" s="15" t="s">
        <v>189</v>
      </c>
      <c r="C37" s="147" t="s">
        <v>197</v>
      </c>
      <c r="D37" s="147"/>
      <c r="E37" s="147"/>
      <c r="F37" s="147"/>
      <c r="G37" s="147"/>
      <c r="H37" s="147"/>
      <c r="I37" s="147"/>
      <c r="J37" s="147"/>
      <c r="K37" s="148"/>
    </row>
    <row r="38" spans="2:11" x14ac:dyDescent="0.25">
      <c r="B38" s="15"/>
      <c r="C38" s="147"/>
      <c r="D38" s="147"/>
      <c r="E38" s="147"/>
      <c r="F38" s="147"/>
      <c r="G38" s="147"/>
      <c r="H38" s="147"/>
      <c r="I38" s="147"/>
      <c r="J38" s="147"/>
      <c r="K38" s="148"/>
    </row>
    <row r="39" spans="2:11" x14ac:dyDescent="0.25">
      <c r="B39" s="15"/>
      <c r="C39" s="147"/>
      <c r="D39" s="147"/>
      <c r="E39" s="147"/>
      <c r="F39" s="147"/>
      <c r="G39" s="147"/>
      <c r="H39" s="147"/>
      <c r="I39" s="147"/>
      <c r="J39" s="147"/>
      <c r="K39" s="148"/>
    </row>
    <row r="40" spans="2:11" ht="15" customHeight="1" x14ac:dyDescent="0.25">
      <c r="B40" s="15" t="s">
        <v>198</v>
      </c>
      <c r="C40" s="147" t="s">
        <v>199</v>
      </c>
      <c r="D40" s="147"/>
      <c r="E40" s="147"/>
      <c r="F40" s="147"/>
      <c r="G40" s="147"/>
      <c r="H40" s="147"/>
      <c r="I40" s="147"/>
      <c r="J40" s="147"/>
      <c r="K40" s="148"/>
    </row>
    <row r="41" spans="2:11" x14ac:dyDescent="0.25">
      <c r="B41" s="15"/>
      <c r="C41" s="147"/>
      <c r="D41" s="147"/>
      <c r="E41" s="147"/>
      <c r="F41" s="147"/>
      <c r="G41" s="147"/>
      <c r="H41" s="147"/>
      <c r="I41" s="147"/>
      <c r="J41" s="147"/>
      <c r="K41" s="148"/>
    </row>
    <row r="42" spans="2:11" x14ac:dyDescent="0.25">
      <c r="B42" s="15"/>
      <c r="C42" s="147"/>
      <c r="D42" s="147"/>
      <c r="E42" s="147"/>
      <c r="F42" s="147"/>
      <c r="G42" s="147"/>
      <c r="H42" s="147"/>
      <c r="I42" s="147"/>
      <c r="J42" s="147"/>
      <c r="K42" s="148"/>
    </row>
    <row r="43" spans="2:11" ht="15" customHeight="1" x14ac:dyDescent="0.25">
      <c r="B43" s="15" t="s">
        <v>200</v>
      </c>
      <c r="C43" s="147" t="s">
        <v>201</v>
      </c>
      <c r="D43" s="147"/>
      <c r="E43" s="147"/>
      <c r="F43" s="147"/>
      <c r="G43" s="147"/>
      <c r="H43" s="147"/>
      <c r="I43" s="147"/>
      <c r="J43" s="147"/>
      <c r="K43" s="148"/>
    </row>
    <row r="44" spans="2:11" x14ac:dyDescent="0.25">
      <c r="B44" s="15"/>
      <c r="C44" s="147"/>
      <c r="D44" s="147"/>
      <c r="E44" s="147"/>
      <c r="F44" s="147"/>
      <c r="G44" s="147"/>
      <c r="H44" s="147"/>
      <c r="I44" s="147"/>
      <c r="J44" s="147"/>
      <c r="K44" s="148"/>
    </row>
    <row r="45" spans="2:11" ht="15" customHeight="1" x14ac:dyDescent="0.25">
      <c r="B45" s="15" t="s">
        <v>202</v>
      </c>
      <c r="C45" s="147" t="s">
        <v>204</v>
      </c>
      <c r="D45" s="147"/>
      <c r="E45" s="147"/>
      <c r="F45" s="147"/>
      <c r="G45" s="147"/>
      <c r="H45" s="147"/>
      <c r="I45" s="147"/>
      <c r="J45" s="147"/>
      <c r="K45" s="148"/>
    </row>
    <row r="46" spans="2:11" x14ac:dyDescent="0.25">
      <c r="B46" s="15"/>
      <c r="C46" s="147"/>
      <c r="D46" s="147"/>
      <c r="E46" s="147"/>
      <c r="F46" s="147"/>
      <c r="G46" s="147"/>
      <c r="H46" s="147"/>
      <c r="I46" s="147"/>
      <c r="J46" s="147"/>
      <c r="K46" s="148"/>
    </row>
    <row r="47" spans="2:11" x14ac:dyDescent="0.25">
      <c r="B47" s="15"/>
      <c r="C47" s="147"/>
      <c r="D47" s="147"/>
      <c r="E47" s="147"/>
      <c r="F47" s="147"/>
      <c r="G47" s="147"/>
      <c r="H47" s="147"/>
      <c r="I47" s="147"/>
      <c r="J47" s="147"/>
      <c r="K47" s="148"/>
    </row>
    <row r="48" spans="2:11" x14ac:dyDescent="0.25">
      <c r="B48" s="15"/>
      <c r="C48" s="147"/>
      <c r="D48" s="147"/>
      <c r="E48" s="147"/>
      <c r="F48" s="147"/>
      <c r="G48" s="147"/>
      <c r="H48" s="147"/>
      <c r="I48" s="147"/>
      <c r="J48" s="147"/>
      <c r="K48" s="148"/>
    </row>
    <row r="49" spans="2:11" x14ac:dyDescent="0.25">
      <c r="B49" s="15"/>
      <c r="C49" s="147"/>
      <c r="D49" s="147"/>
      <c r="E49" s="147"/>
      <c r="F49" s="147"/>
      <c r="G49" s="147"/>
      <c r="H49" s="147"/>
      <c r="I49" s="147"/>
      <c r="J49" s="147"/>
      <c r="K49" s="148"/>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tabSelected="1" topLeftCell="A52" zoomScaleNormal="100" workbookViewId="0">
      <selection activeCell="G69" sqref="G69:G70"/>
    </sheetView>
  </sheetViews>
  <sheetFormatPr defaultColWidth="9.140625" defaultRowHeight="15" x14ac:dyDescent="0.25"/>
  <cols>
    <col min="1" max="1" width="1.42578125" customWidth="1"/>
    <col min="2" max="2" width="35.42578125" customWidth="1"/>
    <col min="3" max="4" width="11.5703125" bestFit="1" customWidth="1"/>
    <col min="5" max="5" width="23.42578125" bestFit="1" customWidth="1"/>
    <col min="6" max="6" width="13.140625" bestFit="1" customWidth="1"/>
    <col min="7" max="7" width="14.42578125" customWidth="1"/>
    <col min="8" max="8" width="16.5703125" bestFit="1" customWidth="1"/>
    <col min="9" max="9" width="22.85546875" customWidth="1"/>
    <col min="10" max="10" width="0.140625" customWidth="1"/>
  </cols>
  <sheetData>
    <row r="1" spans="1:13" ht="21.75" thickTop="1" x14ac:dyDescent="0.35">
      <c r="A1" s="47"/>
      <c r="B1" s="211" t="s">
        <v>57</v>
      </c>
      <c r="C1" s="211"/>
      <c r="D1" s="211"/>
      <c r="E1" s="211"/>
      <c r="F1" s="211"/>
      <c r="G1" s="211"/>
      <c r="H1" s="211"/>
      <c r="I1" s="211"/>
      <c r="J1" s="48"/>
    </row>
    <row r="2" spans="1:13" x14ac:dyDescent="0.25">
      <c r="A2" s="49"/>
      <c r="B2" s="120"/>
      <c r="C2" s="120"/>
      <c r="D2" s="120"/>
      <c r="E2" s="120" t="s">
        <v>206</v>
      </c>
      <c r="F2" s="120"/>
      <c r="G2" s="120"/>
      <c r="H2" s="120"/>
      <c r="I2" s="120"/>
      <c r="J2" s="50"/>
    </row>
    <row r="3" spans="1:13" ht="21" x14ac:dyDescent="0.35">
      <c r="A3" s="49"/>
      <c r="B3" s="212" t="s">
        <v>169</v>
      </c>
      <c r="C3" s="212"/>
      <c r="D3" s="212"/>
      <c r="E3" s="212"/>
      <c r="F3" s="212"/>
      <c r="G3" s="212"/>
      <c r="H3" s="212"/>
      <c r="I3" s="212"/>
      <c r="J3" s="50"/>
    </row>
    <row r="4" spans="1:13" ht="21" customHeight="1" x14ac:dyDescent="0.35">
      <c r="A4" s="51"/>
      <c r="B4" s="217" t="s">
        <v>231</v>
      </c>
      <c r="C4" s="217"/>
      <c r="D4" s="217"/>
      <c r="E4" s="217"/>
      <c r="F4" s="217"/>
      <c r="G4" s="217"/>
      <c r="H4" s="217"/>
      <c r="I4" s="217"/>
      <c r="J4" s="52"/>
    </row>
    <row r="5" spans="1:13" s="1" customFormat="1" x14ac:dyDescent="0.25">
      <c r="A5" s="53"/>
      <c r="B5" t="s">
        <v>59</v>
      </c>
      <c r="C5" s="188">
        <v>699</v>
      </c>
      <c r="D5" s="188"/>
      <c r="E5" s="188"/>
      <c r="F5" s="188"/>
      <c r="G5" s="188"/>
      <c r="H5" s="188"/>
      <c r="J5" s="54"/>
    </row>
    <row r="6" spans="1:13" s="1" customFormat="1" x14ac:dyDescent="0.25">
      <c r="A6" s="53"/>
      <c r="B6" t="s">
        <v>60</v>
      </c>
      <c r="C6" s="214" t="s">
        <v>226</v>
      </c>
      <c r="D6" s="215"/>
      <c r="E6" s="215"/>
      <c r="F6" s="215"/>
      <c r="G6" s="215"/>
      <c r="H6" s="216"/>
      <c r="J6" s="54"/>
    </row>
    <row r="7" spans="1:13" s="1" customFormat="1" ht="15.75" thickBot="1" x14ac:dyDescent="0.3">
      <c r="A7" s="55"/>
      <c r="B7" s="56" t="s">
        <v>143</v>
      </c>
      <c r="C7" s="213">
        <v>40000168</v>
      </c>
      <c r="D7" s="213"/>
      <c r="E7" s="213"/>
      <c r="F7" s="213"/>
      <c r="G7" s="213"/>
      <c r="H7" s="213"/>
      <c r="I7" s="57"/>
      <c r="J7" s="58"/>
    </row>
    <row r="8" spans="1:13" s="1" customFormat="1" ht="9.9499999999999993" customHeight="1" thickTop="1" x14ac:dyDescent="0.25">
      <c r="A8" s="53"/>
      <c r="B8"/>
      <c r="C8"/>
      <c r="D8" s="38"/>
      <c r="J8" s="54"/>
    </row>
    <row r="9" spans="1:13" s="1" customFormat="1" x14ac:dyDescent="0.25">
      <c r="A9" s="53"/>
      <c r="B9" s="167" t="s">
        <v>61</v>
      </c>
      <c r="C9" s="168"/>
      <c r="D9" s="168"/>
      <c r="E9" s="168"/>
      <c r="F9" s="168"/>
      <c r="G9" s="168"/>
      <c r="H9" s="168"/>
      <c r="I9" s="169"/>
      <c r="J9" s="54"/>
    </row>
    <row r="10" spans="1:13" s="1" customFormat="1" x14ac:dyDescent="0.25">
      <c r="A10" s="53"/>
      <c r="B10" s="15" t="s">
        <v>62</v>
      </c>
      <c r="C10" s="188" t="s">
        <v>216</v>
      </c>
      <c r="D10" s="188"/>
      <c r="E10" s="188"/>
      <c r="F10" s="188"/>
      <c r="G10" s="188"/>
      <c r="H10" s="188"/>
      <c r="I10" s="59"/>
      <c r="J10" s="54"/>
    </row>
    <row r="11" spans="1:13" s="1" customFormat="1" x14ac:dyDescent="0.25">
      <c r="A11" s="53"/>
      <c r="B11" s="15" t="s">
        <v>63</v>
      </c>
      <c r="C11" s="189" t="s">
        <v>217</v>
      </c>
      <c r="D11" s="189"/>
      <c r="E11" s="189"/>
      <c r="F11" s="189"/>
      <c r="G11" s="189"/>
      <c r="H11" s="189"/>
      <c r="I11" s="59"/>
      <c r="J11" s="54"/>
    </row>
    <row r="12" spans="1:13" s="1" customFormat="1" x14ac:dyDescent="0.25">
      <c r="A12" s="53"/>
      <c r="B12" s="18" t="s">
        <v>64</v>
      </c>
      <c r="C12" s="190" t="s">
        <v>218</v>
      </c>
      <c r="D12" s="190"/>
      <c r="E12" s="190"/>
      <c r="F12" s="190"/>
      <c r="G12" s="190"/>
      <c r="H12" s="190"/>
      <c r="I12" s="60"/>
      <c r="J12" s="54"/>
    </row>
    <row r="13" spans="1:13" ht="9.9499999999999993" customHeight="1" thickBot="1" x14ac:dyDescent="0.3">
      <c r="A13" s="49"/>
      <c r="D13" s="61"/>
      <c r="J13" s="50"/>
      <c r="M13" s="1"/>
    </row>
    <row r="14" spans="1:13" s="62" customFormat="1" ht="27" customHeight="1" thickTop="1" thickBot="1" x14ac:dyDescent="0.3">
      <c r="A14" s="170" t="s">
        <v>153</v>
      </c>
      <c r="B14" s="171"/>
      <c r="C14" s="171"/>
      <c r="D14" s="171"/>
      <c r="E14" s="171"/>
      <c r="F14" s="171"/>
      <c r="G14" s="171"/>
      <c r="H14" s="171"/>
      <c r="I14" s="171"/>
      <c r="J14" s="172"/>
      <c r="M14" s="1"/>
    </row>
    <row r="15" spans="1:13" ht="9.9499999999999993" customHeight="1" thickTop="1" x14ac:dyDescent="0.25">
      <c r="A15" s="49"/>
      <c r="D15" s="61"/>
      <c r="J15" s="50"/>
      <c r="M15" s="1"/>
    </row>
    <row r="16" spans="1:13" ht="15" customHeight="1" x14ac:dyDescent="0.25">
      <c r="A16" s="49"/>
      <c r="B16" s="63" t="s">
        <v>0</v>
      </c>
      <c r="C16" s="193" t="s">
        <v>223</v>
      </c>
      <c r="D16" s="194"/>
      <c r="E16" s="194"/>
      <c r="F16" s="194"/>
      <c r="G16" s="194"/>
      <c r="H16" s="194"/>
      <c r="I16" s="195"/>
      <c r="J16" s="50"/>
      <c r="M16" s="1"/>
    </row>
    <row r="17" spans="1:13" ht="15" customHeight="1" x14ac:dyDescent="0.25">
      <c r="A17" s="49"/>
      <c r="B17" s="210" t="s">
        <v>73</v>
      </c>
      <c r="C17" s="196"/>
      <c r="D17" s="197"/>
      <c r="E17" s="197"/>
      <c r="F17" s="197"/>
      <c r="G17" s="197"/>
      <c r="H17" s="197"/>
      <c r="I17" s="198"/>
      <c r="J17" s="50"/>
      <c r="M17" s="1"/>
    </row>
    <row r="18" spans="1:13" ht="10.5" customHeight="1" x14ac:dyDescent="0.25">
      <c r="A18" s="49"/>
      <c r="B18" s="210"/>
      <c r="C18" s="196"/>
      <c r="D18" s="197"/>
      <c r="E18" s="197"/>
      <c r="F18" s="197"/>
      <c r="G18" s="197"/>
      <c r="H18" s="197"/>
      <c r="I18" s="198"/>
      <c r="J18" s="50"/>
      <c r="M18" s="1"/>
    </row>
    <row r="19" spans="1:13" ht="6" customHeight="1" x14ac:dyDescent="0.25">
      <c r="A19" s="49"/>
      <c r="B19" s="210"/>
      <c r="C19" s="199"/>
      <c r="D19" s="200"/>
      <c r="E19" s="200"/>
      <c r="F19" s="200"/>
      <c r="G19" s="200"/>
      <c r="H19" s="200"/>
      <c r="I19" s="201"/>
      <c r="J19" s="50"/>
      <c r="M19" s="1"/>
    </row>
    <row r="20" spans="1:13" ht="9.9499999999999993" customHeight="1" x14ac:dyDescent="0.25">
      <c r="A20" s="49"/>
      <c r="B20" s="64"/>
      <c r="C20" s="65"/>
      <c r="D20" s="65"/>
      <c r="E20" s="65"/>
      <c r="F20" s="65"/>
      <c r="G20" s="65"/>
      <c r="H20" s="65"/>
      <c r="I20" s="105"/>
      <c r="J20" s="50"/>
      <c r="M20" s="1"/>
    </row>
    <row r="21" spans="1:13" ht="15" customHeight="1" x14ac:dyDescent="0.25">
      <c r="A21" s="49"/>
      <c r="B21" s="36" t="s">
        <v>65</v>
      </c>
      <c r="C21" s="202" t="s">
        <v>234</v>
      </c>
      <c r="D21" s="203"/>
      <c r="E21" s="203"/>
      <c r="F21" s="203"/>
      <c r="G21" s="203"/>
      <c r="H21" s="203"/>
      <c r="I21" s="204"/>
      <c r="J21" s="50"/>
      <c r="M21" s="1"/>
    </row>
    <row r="22" spans="1:13" ht="15" customHeight="1" x14ac:dyDescent="0.25">
      <c r="A22" s="49"/>
      <c r="B22" s="191" t="s">
        <v>144</v>
      </c>
      <c r="C22" s="205"/>
      <c r="D22" s="256"/>
      <c r="E22" s="256"/>
      <c r="F22" s="256"/>
      <c r="G22" s="256"/>
      <c r="H22" s="256"/>
      <c r="I22" s="206"/>
      <c r="J22" s="50"/>
      <c r="M22" s="1"/>
    </row>
    <row r="23" spans="1:13" x14ac:dyDescent="0.25">
      <c r="A23" s="49"/>
      <c r="B23" s="191"/>
      <c r="C23" s="205"/>
      <c r="D23" s="256"/>
      <c r="E23" s="256"/>
      <c r="F23" s="256"/>
      <c r="G23" s="256"/>
      <c r="H23" s="256"/>
      <c r="I23" s="206"/>
      <c r="J23" s="50"/>
      <c r="M23" s="1"/>
    </row>
    <row r="24" spans="1:13" x14ac:dyDescent="0.25">
      <c r="A24" s="49"/>
      <c r="B24" s="191"/>
      <c r="C24" s="205"/>
      <c r="D24" s="256"/>
      <c r="E24" s="256"/>
      <c r="F24" s="256"/>
      <c r="G24" s="256"/>
      <c r="H24" s="256"/>
      <c r="I24" s="206"/>
      <c r="J24" s="50"/>
      <c r="M24" s="1"/>
    </row>
    <row r="25" spans="1:13" x14ac:dyDescent="0.25">
      <c r="A25" s="49"/>
      <c r="B25" s="191"/>
      <c r="C25" s="205"/>
      <c r="D25" s="256"/>
      <c r="E25" s="256"/>
      <c r="F25" s="256"/>
      <c r="G25" s="256"/>
      <c r="H25" s="256"/>
      <c r="I25" s="206"/>
      <c r="J25" s="50"/>
      <c r="M25" s="1"/>
    </row>
    <row r="26" spans="1:13" ht="15" customHeight="1" x14ac:dyDescent="0.25">
      <c r="A26" s="49"/>
      <c r="B26" s="191"/>
      <c r="C26" s="205"/>
      <c r="D26" s="256"/>
      <c r="E26" s="256"/>
      <c r="F26" s="256"/>
      <c r="G26" s="256"/>
      <c r="H26" s="256"/>
      <c r="I26" s="206"/>
      <c r="J26" s="50"/>
      <c r="M26" s="1"/>
    </row>
    <row r="27" spans="1:13" ht="6.75" customHeight="1" x14ac:dyDescent="0.25">
      <c r="A27" s="49"/>
      <c r="B27" s="192"/>
      <c r="C27" s="207"/>
      <c r="D27" s="208"/>
      <c r="E27" s="208"/>
      <c r="F27" s="208"/>
      <c r="G27" s="208"/>
      <c r="H27" s="208"/>
      <c r="I27" s="209"/>
      <c r="J27" s="50"/>
      <c r="M27" s="1"/>
    </row>
    <row r="28" spans="1:13" ht="11.25" customHeight="1" x14ac:dyDescent="0.25">
      <c r="A28" s="49"/>
      <c r="D28" s="61"/>
      <c r="J28" s="50"/>
      <c r="M28" s="1"/>
    </row>
    <row r="29" spans="1:13" s="1" customFormat="1" x14ac:dyDescent="0.25">
      <c r="A29" s="53"/>
      <c r="B29" s="167" t="s">
        <v>154</v>
      </c>
      <c r="C29" s="168"/>
      <c r="D29" s="168"/>
      <c r="E29" s="168"/>
      <c r="F29" s="168"/>
      <c r="G29" s="168"/>
      <c r="H29" s="168"/>
      <c r="I29" s="169"/>
      <c r="J29" s="54"/>
    </row>
    <row r="30" spans="1:13" ht="15" customHeight="1" thickBot="1" x14ac:dyDescent="0.3">
      <c r="A30" s="49"/>
      <c r="B30" s="66"/>
      <c r="C30" s="173" t="s">
        <v>174</v>
      </c>
      <c r="D30" s="174"/>
      <c r="E30" s="174"/>
      <c r="F30" s="174"/>
      <c r="G30" s="174"/>
      <c r="H30" s="175"/>
      <c r="I30" s="176"/>
      <c r="J30" s="50"/>
      <c r="M30" s="1"/>
    </row>
    <row r="31" spans="1:13" ht="15" customHeight="1" x14ac:dyDescent="0.25">
      <c r="A31" s="49"/>
      <c r="B31" s="66"/>
      <c r="C31" s="173" t="s">
        <v>158</v>
      </c>
      <c r="D31" s="176"/>
      <c r="E31" s="173" t="s">
        <v>159</v>
      </c>
      <c r="F31" s="174"/>
      <c r="G31" s="174"/>
      <c r="H31" s="177" t="s">
        <v>1</v>
      </c>
      <c r="I31" s="179" t="s">
        <v>67</v>
      </c>
      <c r="J31" s="50"/>
      <c r="M31" s="1"/>
    </row>
    <row r="32" spans="1:13" s="1" customFormat="1" ht="30" x14ac:dyDescent="0.25">
      <c r="A32" s="53"/>
      <c r="B32" s="10" t="s">
        <v>156</v>
      </c>
      <c r="C32" s="67" t="s">
        <v>161</v>
      </c>
      <c r="D32" s="4" t="s">
        <v>207</v>
      </c>
      <c r="E32" s="4" t="s">
        <v>208</v>
      </c>
      <c r="F32" s="4" t="s">
        <v>209</v>
      </c>
      <c r="G32" s="5" t="s">
        <v>160</v>
      </c>
      <c r="H32" s="178"/>
      <c r="I32" s="180"/>
      <c r="J32" s="54"/>
    </row>
    <row r="33" spans="1:13" x14ac:dyDescent="0.25">
      <c r="A33" s="49"/>
      <c r="B33" s="6" t="s">
        <v>2</v>
      </c>
      <c r="C33" s="41"/>
      <c r="D33" s="41"/>
      <c r="E33" s="41">
        <v>0</v>
      </c>
      <c r="F33" s="41">
        <v>0</v>
      </c>
      <c r="G33" s="42">
        <v>0</v>
      </c>
      <c r="H33" s="43">
        <f>SUM(C33:G33)</f>
        <v>0</v>
      </c>
      <c r="I33" s="141"/>
      <c r="J33" s="50"/>
      <c r="M33" s="1"/>
    </row>
    <row r="34" spans="1:13" x14ac:dyDescent="0.25">
      <c r="A34" s="49"/>
      <c r="B34" s="8" t="s">
        <v>227</v>
      </c>
      <c r="C34" s="142"/>
      <c r="D34" s="69"/>
      <c r="E34" s="69"/>
      <c r="F34" s="69"/>
      <c r="G34" s="70"/>
      <c r="H34" s="9">
        <f>SUM(C34:G34)</f>
        <v>0</v>
      </c>
      <c r="I34" s="71"/>
      <c r="J34" s="50"/>
      <c r="M34" s="1"/>
    </row>
    <row r="35" spans="1:13" x14ac:dyDescent="0.25">
      <c r="A35" s="49"/>
      <c r="B35" s="116" t="s">
        <v>192</v>
      </c>
      <c r="C35" s="68"/>
      <c r="D35" s="69"/>
      <c r="E35" s="69"/>
      <c r="F35" s="69"/>
      <c r="G35" s="70"/>
      <c r="H35" s="9">
        <f t="shared" ref="H35:H37" si="0">SUM(C35:G35)</f>
        <v>0</v>
      </c>
      <c r="I35" s="71"/>
      <c r="J35" s="50"/>
      <c r="M35" s="1"/>
    </row>
    <row r="36" spans="1:13" x14ac:dyDescent="0.25">
      <c r="A36" s="49"/>
      <c r="B36" s="116" t="s">
        <v>58</v>
      </c>
      <c r="C36" s="68"/>
      <c r="D36" s="69"/>
      <c r="E36" s="69"/>
      <c r="F36" s="69"/>
      <c r="G36" s="70"/>
      <c r="H36" s="9">
        <f t="shared" si="0"/>
        <v>0</v>
      </c>
      <c r="I36" s="71"/>
      <c r="J36" s="50"/>
      <c r="M36" s="1"/>
    </row>
    <row r="37" spans="1:13" x14ac:dyDescent="0.25">
      <c r="A37" s="49"/>
      <c r="B37" s="115" t="s">
        <v>173</v>
      </c>
      <c r="C37" s="68"/>
      <c r="D37" s="69"/>
      <c r="E37" s="69"/>
      <c r="F37" s="69"/>
      <c r="G37" s="70"/>
      <c r="H37" s="9">
        <f t="shared" si="0"/>
        <v>0</v>
      </c>
      <c r="I37" s="71"/>
      <c r="J37" s="50"/>
      <c r="M37" s="1"/>
    </row>
    <row r="38" spans="1:13" x14ac:dyDescent="0.25">
      <c r="A38" s="49"/>
      <c r="B38" s="6" t="s">
        <v>3</v>
      </c>
      <c r="C38" s="41">
        <f>SUM(C39:C42)</f>
        <v>1476155</v>
      </c>
      <c r="D38" s="41">
        <f>SUM(D39:D42)</f>
        <v>0</v>
      </c>
      <c r="E38" s="41">
        <f>SUM(E39:E42)</f>
        <v>0</v>
      </c>
      <c r="F38" s="41">
        <f>SUM(F39:F42)</f>
        <v>0</v>
      </c>
      <c r="G38" s="42">
        <f>SUM(G39:G42)</f>
        <v>0</v>
      </c>
      <c r="H38" s="43">
        <f>SUM(C38:G38)</f>
        <v>1476155</v>
      </c>
      <c r="I38" s="7"/>
      <c r="J38" s="50"/>
      <c r="M38" s="1"/>
    </row>
    <row r="39" spans="1:13" x14ac:dyDescent="0.25">
      <c r="A39" s="49"/>
      <c r="B39" s="8" t="s">
        <v>227</v>
      </c>
      <c r="C39" s="68">
        <v>1476155</v>
      </c>
      <c r="D39" s="69"/>
      <c r="E39" s="69">
        <f>2839000-C39-D39-1362845</f>
        <v>0</v>
      </c>
      <c r="F39" s="69"/>
      <c r="G39" s="70"/>
      <c r="H39" s="9">
        <f>SUM(C39:G39)</f>
        <v>1476155</v>
      </c>
      <c r="I39" s="71" t="s">
        <v>213</v>
      </c>
      <c r="J39" s="50"/>
      <c r="M39" s="1"/>
    </row>
    <row r="40" spans="1:13" x14ac:dyDescent="0.25">
      <c r="A40" s="49"/>
      <c r="B40" s="116" t="s">
        <v>192</v>
      </c>
      <c r="C40" s="68"/>
      <c r="D40" s="69"/>
      <c r="E40" s="69"/>
      <c r="F40" s="69"/>
      <c r="G40" s="70"/>
      <c r="H40" s="9">
        <f>SUM(C40:G40)</f>
        <v>0</v>
      </c>
      <c r="I40" s="71"/>
      <c r="J40" s="50"/>
      <c r="M40" s="1"/>
    </row>
    <row r="41" spans="1:13" x14ac:dyDescent="0.25">
      <c r="A41" s="49"/>
      <c r="B41" s="116" t="s">
        <v>58</v>
      </c>
      <c r="C41" s="68"/>
      <c r="D41" s="69"/>
      <c r="E41" s="69"/>
      <c r="F41" s="69"/>
      <c r="G41" s="70"/>
      <c r="H41" s="9">
        <f t="shared" ref="H41:H42" si="1">SUM(C41:G41)</f>
        <v>0</v>
      </c>
      <c r="I41" s="71"/>
      <c r="J41" s="50"/>
      <c r="M41" s="1"/>
    </row>
    <row r="42" spans="1:13" x14ac:dyDescent="0.25">
      <c r="A42" s="49"/>
      <c r="B42" s="115" t="s">
        <v>173</v>
      </c>
      <c r="C42" s="68"/>
      <c r="D42" s="69"/>
      <c r="E42" s="69"/>
      <c r="F42" s="69"/>
      <c r="G42" s="70"/>
      <c r="H42" s="9">
        <f t="shared" si="1"/>
        <v>0</v>
      </c>
      <c r="I42" s="71"/>
      <c r="J42" s="50"/>
      <c r="M42" s="1"/>
    </row>
    <row r="43" spans="1:13" x14ac:dyDescent="0.25">
      <c r="A43" s="49"/>
      <c r="B43" s="6" t="s">
        <v>4</v>
      </c>
      <c r="C43" s="41">
        <f>SUM(C44:C47)</f>
        <v>0</v>
      </c>
      <c r="D43" s="41">
        <f>SUM(D44:D47)</f>
        <v>4229343.3900000006</v>
      </c>
      <c r="E43" s="41">
        <f>SUM(E44:E47)</f>
        <v>49075501.609999999</v>
      </c>
      <c r="F43" s="41">
        <f>SUM(F44:F47)</f>
        <v>0</v>
      </c>
      <c r="G43" s="42">
        <f>SUM(G44:G47)</f>
        <v>0</v>
      </c>
      <c r="H43" s="43">
        <f>SUM(C43:G43)</f>
        <v>53304845</v>
      </c>
      <c r="I43" s="7"/>
      <c r="J43" s="50"/>
      <c r="M43" s="1"/>
    </row>
    <row r="44" spans="1:13" x14ac:dyDescent="0.25">
      <c r="A44" s="49"/>
      <c r="B44" s="8" t="s">
        <v>227</v>
      </c>
      <c r="C44" s="68"/>
      <c r="D44" s="69">
        <v>3014670.62</v>
      </c>
      <c r="E44" s="69">
        <f>39942000-C44-D44+1362845</f>
        <v>38290174.380000003</v>
      </c>
      <c r="F44" s="69"/>
      <c r="G44" s="70"/>
      <c r="H44" s="9">
        <f>SUM(C44:G44)</f>
        <v>41304845</v>
      </c>
      <c r="I44" s="71" t="s">
        <v>212</v>
      </c>
      <c r="J44" s="50"/>
      <c r="M44" s="1"/>
    </row>
    <row r="45" spans="1:13" x14ac:dyDescent="0.25">
      <c r="A45" s="49"/>
      <c r="B45" s="116" t="s">
        <v>210</v>
      </c>
      <c r="C45" s="68"/>
      <c r="D45" s="69">
        <v>316595.99</v>
      </c>
      <c r="E45" s="69">
        <f>2000000-C45-D45</f>
        <v>1683404.01</v>
      </c>
      <c r="F45" s="69"/>
      <c r="G45" s="70"/>
      <c r="H45" s="9">
        <f>SUM(C45:G45)</f>
        <v>2000000</v>
      </c>
      <c r="I45" s="71" t="s">
        <v>211</v>
      </c>
      <c r="J45" s="50"/>
      <c r="M45" s="1"/>
    </row>
    <row r="46" spans="1:13" x14ac:dyDescent="0.25">
      <c r="A46" s="49"/>
      <c r="B46" s="116" t="s">
        <v>219</v>
      </c>
      <c r="C46" s="68"/>
      <c r="D46" s="69">
        <v>898076.78</v>
      </c>
      <c r="E46" s="69">
        <f>10000000-D46-C46</f>
        <v>9101923.2200000007</v>
      </c>
      <c r="F46" s="69"/>
      <c r="G46" s="70"/>
      <c r="H46" s="9">
        <f t="shared" ref="H46:H47" si="2">SUM(C46:G46)</f>
        <v>10000000</v>
      </c>
      <c r="I46" s="71" t="s">
        <v>220</v>
      </c>
      <c r="J46" s="50"/>
      <c r="M46" s="1"/>
    </row>
    <row r="47" spans="1:13" x14ac:dyDescent="0.25">
      <c r="A47" s="49"/>
      <c r="B47" s="115" t="s">
        <v>173</v>
      </c>
      <c r="C47" s="68"/>
      <c r="D47" s="69"/>
      <c r="E47" s="69"/>
      <c r="F47" s="69"/>
      <c r="G47" s="70"/>
      <c r="H47" s="9">
        <f t="shared" si="2"/>
        <v>0</v>
      </c>
      <c r="I47" s="71"/>
      <c r="J47" s="50"/>
      <c r="M47" s="1"/>
    </row>
    <row r="48" spans="1:13" s="1" customFormat="1" ht="15.75" thickBot="1" x14ac:dyDescent="0.3">
      <c r="A48" s="53"/>
      <c r="B48" s="10" t="s">
        <v>157</v>
      </c>
      <c r="C48" s="44">
        <f>C33+C38+C43</f>
        <v>1476155</v>
      </c>
      <c r="D48" s="44">
        <f>D33+D38+D43</f>
        <v>4229343.3900000006</v>
      </c>
      <c r="E48" s="44">
        <f>E33+E38+E43</f>
        <v>49075501.609999999</v>
      </c>
      <c r="F48" s="44">
        <f>F33+F38+F43</f>
        <v>0</v>
      </c>
      <c r="G48" s="45">
        <f>G33+G38+G43</f>
        <v>0</v>
      </c>
      <c r="H48" s="46">
        <f>SUM(C48:G48)</f>
        <v>54781000</v>
      </c>
      <c r="I48" s="7"/>
      <c r="J48" s="54"/>
    </row>
    <row r="49" spans="1:13" s="1" customFormat="1" ht="9.9499999999999993" customHeight="1" x14ac:dyDescent="0.25">
      <c r="A49" s="53"/>
      <c r="C49" s="72"/>
      <c r="D49" s="72"/>
      <c r="J49" s="54"/>
    </row>
    <row r="50" spans="1:13" s="1" customFormat="1" x14ac:dyDescent="0.25">
      <c r="A50" s="53"/>
      <c r="B50" s="164" t="s">
        <v>155</v>
      </c>
      <c r="C50" s="165"/>
      <c r="D50" s="165"/>
      <c r="E50" s="165"/>
      <c r="F50" s="165"/>
      <c r="G50" s="165"/>
      <c r="H50" s="165"/>
      <c r="I50" s="166"/>
      <c r="J50" s="54"/>
    </row>
    <row r="51" spans="1:13" x14ac:dyDescent="0.25">
      <c r="A51" s="49"/>
      <c r="B51" s="73" t="s">
        <v>69</v>
      </c>
      <c r="C51" s="185" t="s">
        <v>101</v>
      </c>
      <c r="D51" s="185"/>
      <c r="E51" s="184" t="s">
        <v>70</v>
      </c>
      <c r="F51" s="184"/>
      <c r="G51" s="158" t="s">
        <v>141</v>
      </c>
      <c r="H51" s="158"/>
      <c r="I51" s="16"/>
      <c r="J51" s="50"/>
      <c r="M51" s="1"/>
    </row>
    <row r="52" spans="1:13" x14ac:dyDescent="0.25">
      <c r="A52" s="49"/>
      <c r="B52" s="15" t="s">
        <v>228</v>
      </c>
      <c r="C52" s="186">
        <v>0</v>
      </c>
      <c r="D52" s="187"/>
      <c r="E52" t="s">
        <v>71</v>
      </c>
      <c r="G52" s="159" t="s">
        <v>138</v>
      </c>
      <c r="H52" s="159"/>
      <c r="I52" s="16"/>
      <c r="J52" s="50"/>
      <c r="M52" s="1"/>
    </row>
    <row r="53" spans="1:13" x14ac:dyDescent="0.25">
      <c r="A53" s="49"/>
      <c r="B53" s="18" t="s">
        <v>148</v>
      </c>
      <c r="C53" s="159" t="s">
        <v>55</v>
      </c>
      <c r="D53" s="159"/>
      <c r="E53" s="19" t="s">
        <v>72</v>
      </c>
      <c r="F53" s="19"/>
      <c r="G53" s="159" t="s">
        <v>138</v>
      </c>
      <c r="H53" s="159"/>
      <c r="I53" s="20"/>
      <c r="J53" s="50"/>
      <c r="M53" s="1"/>
    </row>
    <row r="54" spans="1:13" ht="9.9499999999999993" customHeight="1" x14ac:dyDescent="0.25">
      <c r="A54" s="49"/>
      <c r="J54" s="50"/>
      <c r="M54" s="1"/>
    </row>
    <row r="55" spans="1:13" x14ac:dyDescent="0.25">
      <c r="A55" s="49"/>
      <c r="B55" s="164" t="s">
        <v>68</v>
      </c>
      <c r="C55" s="165"/>
      <c r="D55" s="165"/>
      <c r="E55" s="165"/>
      <c r="F55" s="165"/>
      <c r="G55" s="165"/>
      <c r="H55" s="165"/>
      <c r="I55" s="166"/>
      <c r="J55" s="50"/>
      <c r="M55" s="1"/>
    </row>
    <row r="56" spans="1:13" ht="61.5" customHeight="1" x14ac:dyDescent="0.25">
      <c r="A56" s="49"/>
      <c r="B56" s="160" t="s">
        <v>175</v>
      </c>
      <c r="C56" s="160"/>
      <c r="D56" s="160"/>
      <c r="E56" s="67" t="s">
        <v>190</v>
      </c>
      <c r="F56" s="67" t="s">
        <v>191</v>
      </c>
      <c r="G56" s="67" t="str">
        <f>IF(FCOR=TRUE, "Actuals at Final Completion", "Actuals to Date")</f>
        <v>Actuals to Date</v>
      </c>
      <c r="H56" s="106" t="s">
        <v>194</v>
      </c>
      <c r="I56" s="11" t="s">
        <v>67</v>
      </c>
      <c r="J56" s="50"/>
      <c r="M56" s="1"/>
    </row>
    <row r="57" spans="1:13" x14ac:dyDescent="0.25">
      <c r="A57" s="49"/>
      <c r="B57" s="12" t="s">
        <v>41</v>
      </c>
      <c r="C57" s="13"/>
      <c r="D57" s="14"/>
      <c r="E57" s="74">
        <v>52187</v>
      </c>
      <c r="F57" s="74">
        <v>57630</v>
      </c>
      <c r="G57" s="75"/>
      <c r="H57" s="139">
        <f>IF($H$56=Lists!$D$8, IFERROR(F57-E57, ""), IF($H$56=Lists!$D$9, IFERROR(G57-E57, ""), IFERROR(G57-F57, "")))</f>
        <v>-57630</v>
      </c>
      <c r="I57" s="76"/>
      <c r="J57" s="50"/>
      <c r="M57" s="1"/>
    </row>
    <row r="58" spans="1:13" x14ac:dyDescent="0.25">
      <c r="A58" s="49"/>
      <c r="B58" s="15" t="s">
        <v>42</v>
      </c>
      <c r="D58" s="16"/>
      <c r="E58" s="74">
        <v>44359</v>
      </c>
      <c r="F58" s="74">
        <v>46588</v>
      </c>
      <c r="G58" s="75"/>
      <c r="H58" s="139">
        <f>IF($H$56=Lists!$D$8, IFERROR(F58-E58, ""), IF($H$56=Lists!$D$9, IFERROR(G58-E58, ""), IFERROR(G58-F58, "")))</f>
        <v>-46588</v>
      </c>
      <c r="I58" s="76"/>
      <c r="J58" s="50"/>
      <c r="M58" s="1"/>
    </row>
    <row r="59" spans="1:13" x14ac:dyDescent="0.25">
      <c r="A59" s="49"/>
      <c r="B59" s="15" t="s">
        <v>43</v>
      </c>
      <c r="D59" s="16"/>
      <c r="E59" s="17">
        <f>IFERROR(E58/E57, "")</f>
        <v>0.85000095809301168</v>
      </c>
      <c r="F59" s="17">
        <f t="shared" ref="F59:G59" si="3">IFERROR(F58/F57, "")</f>
        <v>0.80839840360923132</v>
      </c>
      <c r="G59" s="17" t="str">
        <f t="shared" si="3"/>
        <v/>
      </c>
      <c r="H59" s="108" t="str">
        <f t="shared" ref="H59" si="4">IFERROR(G59-F59, "")</f>
        <v/>
      </c>
      <c r="I59" s="77"/>
      <c r="J59" s="50"/>
      <c r="M59" s="1"/>
    </row>
    <row r="60" spans="1:13" x14ac:dyDescent="0.25">
      <c r="A60" s="49"/>
      <c r="B60" s="15" t="s">
        <v>10</v>
      </c>
      <c r="D60" s="16"/>
      <c r="E60" s="74"/>
      <c r="F60" s="74"/>
      <c r="G60" s="75"/>
      <c r="H60" s="140">
        <f>IF($H$56=Lists!$D$8, IFERROR(F60-E60, ""), IF($H$56=Lists!$D$9, IFERROR(G60-E60, ""), IFERROR(G60-F60, "")))</f>
        <v>0</v>
      </c>
      <c r="I60" s="76"/>
      <c r="J60" s="50"/>
      <c r="M60" s="1"/>
    </row>
    <row r="61" spans="1:13" x14ac:dyDescent="0.25">
      <c r="A61" s="49"/>
      <c r="B61" s="18" t="s">
        <v>39</v>
      </c>
      <c r="C61" s="19"/>
      <c r="D61" s="20"/>
      <c r="E61" s="75"/>
      <c r="F61" s="75"/>
      <c r="G61" s="75"/>
      <c r="H61" s="140">
        <f>IF($H$56=Lists!$D$8, IFERROR(F61-E61, ""), IF($H$56=Lists!$D$9, IFERROR(G61-E61, ""), IFERROR(G61-F61, "")))</f>
        <v>0</v>
      </c>
      <c r="I61" s="78"/>
      <c r="J61" s="50"/>
      <c r="M61" s="1"/>
    </row>
    <row r="62" spans="1:13" x14ac:dyDescent="0.25">
      <c r="A62" s="49"/>
      <c r="B62" s="15" t="s">
        <v>19</v>
      </c>
      <c r="E62" s="21">
        <f>IFERROR(E91/E57, "")</f>
        <v>584.57019947496508</v>
      </c>
      <c r="F62" s="21">
        <v>519.79823763518607</v>
      </c>
      <c r="G62" s="21" t="str">
        <f>IFERROR(G91/G57, "")</f>
        <v/>
      </c>
      <c r="H62" s="109" t="str">
        <f>IF($H$56=Lists!$D$8, IFERROR(F62-E62, ""), IF($H$56=Lists!$D$9, IFERROR(G62-E62, ""), IFERROR(G62-F62, "")))</f>
        <v/>
      </c>
      <c r="I62" s="79"/>
      <c r="J62" s="50"/>
      <c r="K62" s="80"/>
    </row>
    <row r="63" spans="1:13" x14ac:dyDescent="0.25">
      <c r="A63" s="49"/>
      <c r="B63" s="18" t="s">
        <v>162</v>
      </c>
      <c r="C63" s="19"/>
      <c r="D63" s="20"/>
      <c r="E63" s="22">
        <f>IFERROR(E97/E57, "")</f>
        <v>773.37231494433479</v>
      </c>
      <c r="F63" s="22">
        <v>543.08519868124245</v>
      </c>
      <c r="G63" s="22" t="str">
        <f>IFERROR(G97/G57, "")</f>
        <v/>
      </c>
      <c r="H63" s="109" t="str">
        <f>IF($H$56=Lists!$D$8, IFERROR(F63-E63, ""), IF($H$56=Lists!$D$9, IFERROR(G63-E63, ""), IFERROR(G63-F63, "")))</f>
        <v/>
      </c>
      <c r="I63" s="81"/>
      <c r="J63" s="50"/>
      <c r="K63" s="80"/>
    </row>
    <row r="64" spans="1:13" x14ac:dyDescent="0.25">
      <c r="A64" s="49"/>
      <c r="B64" s="161" t="s">
        <v>5</v>
      </c>
      <c r="C64" s="162"/>
      <c r="D64" s="162"/>
      <c r="E64" s="162"/>
      <c r="F64" s="162"/>
      <c r="G64" s="162"/>
      <c r="H64" s="162"/>
      <c r="I64" s="163"/>
      <c r="J64" s="50"/>
    </row>
    <row r="65" spans="1:10" x14ac:dyDescent="0.25">
      <c r="A65" s="49"/>
      <c r="B65" s="12" t="s">
        <v>6</v>
      </c>
      <c r="C65" s="13"/>
      <c r="D65" s="14"/>
      <c r="E65" s="82">
        <v>44075</v>
      </c>
      <c r="F65" s="82">
        <v>44075</v>
      </c>
      <c r="G65" s="82">
        <v>44075</v>
      </c>
      <c r="H65" s="107" t="str">
        <f>IF(SUM(E65:G65)=0, "", IF($H$56=Lists!$D$8, IFERROR(MROUND(CONVERT(F65-E65,"day","yr")*12, 0.5)&amp;" mo.", ""), IF($H$56=Lists!$D$9, IFERROR(MROUND(CONVERT(G65-E65,"day","yr")*12, 0.5)&amp;" mo.", ""), IFERROR(MROUND(CONVERT(G65-F65,"day","yr")*12, 0.5)&amp;" mo.", ""))))</f>
        <v>0 mo.</v>
      </c>
      <c r="I65" s="76"/>
      <c r="J65" s="50"/>
    </row>
    <row r="66" spans="1:10" x14ac:dyDescent="0.25">
      <c r="A66" s="49"/>
      <c r="B66" s="15" t="s">
        <v>7</v>
      </c>
      <c r="D66" s="16"/>
      <c r="E66" s="82">
        <v>44378</v>
      </c>
      <c r="F66" s="82">
        <v>44866</v>
      </c>
      <c r="G66" s="83">
        <v>44866</v>
      </c>
      <c r="H66" s="107" t="str">
        <f>IF(SUM(E66:G66)=0, "", IF($H$56=Lists!$D$8, IFERROR(MROUND(CONVERT(F66-E66,"day","yr")*12, 0.5)&amp;" mo.", ""), IF($H$56=Lists!$D$9, IFERROR(MROUND(CONVERT(G66-E66,"day","yr")*12, 0.5)&amp;" mo.", ""), IFERROR(MROUND(CONVERT(G66-F66,"day","yr")*12, 0.5)&amp;" mo.", ""))))</f>
        <v>0 mo.</v>
      </c>
      <c r="I66" s="76"/>
      <c r="J66" s="50"/>
    </row>
    <row r="67" spans="1:10" x14ac:dyDescent="0.25">
      <c r="A67" s="49"/>
      <c r="B67" s="15" t="s">
        <v>163</v>
      </c>
      <c r="D67" s="16"/>
      <c r="E67" s="82">
        <v>45499</v>
      </c>
      <c r="F67" s="126">
        <v>45671</v>
      </c>
      <c r="G67" s="83">
        <v>45671</v>
      </c>
      <c r="H67" s="107" t="str">
        <f>IF(SUM(E67:G67)=0, "", IF($H$56=Lists!$D$8, IFERROR(MROUND(CONVERT(F67-E67,"day","yr")*12, 0.5)&amp;" mo.", ""), IF($H$56=Lists!$D$9, IFERROR(MROUND(CONVERT(G67-E67,"day","yr")*12, 0.5)&amp;" mo.", ""), IFERROR(MROUND(CONVERT(G67-F67,"day","yr")*12, 0.5)&amp;" mo.", ""))))</f>
        <v>0 mo.</v>
      </c>
      <c r="I67" s="76"/>
      <c r="J67" s="50"/>
    </row>
    <row r="68" spans="1:10" ht="34.5" x14ac:dyDescent="0.25">
      <c r="A68" s="49"/>
      <c r="B68" s="15" t="s">
        <v>66</v>
      </c>
      <c r="D68" s="16"/>
      <c r="E68" s="82">
        <v>44593</v>
      </c>
      <c r="F68" s="126">
        <v>45700</v>
      </c>
      <c r="G68" s="247">
        <v>45761</v>
      </c>
      <c r="H68" s="248" t="str">
        <f>IF(SUM(E68:G68)=0, "", IF($H$56=Lists!$D$8, IFERROR(MROUND(CONVERT(F68-E68,"day","yr")*12, 0.5)&amp;" mo.", ""), IF($H$56=Lists!$D$9, IFERROR(MROUND(CONVERT(G68-E68,"day","yr")*12, 0.5)&amp;" mo.", ""), IFERROR(MROUND(CONVERT(G68-F68,"day","yr")*12, 0.5)&amp;" mo.", ""))))</f>
        <v>2 mo.</v>
      </c>
      <c r="I68" s="257" t="s">
        <v>233</v>
      </c>
      <c r="J68" s="50"/>
    </row>
    <row r="69" spans="1:10" ht="47.25" customHeight="1" x14ac:dyDescent="0.25">
      <c r="A69" s="49"/>
      <c r="B69" s="15" t="s">
        <v>8</v>
      </c>
      <c r="D69" s="16"/>
      <c r="E69" s="82">
        <v>45078</v>
      </c>
      <c r="F69" s="126">
        <v>46234</v>
      </c>
      <c r="G69" s="247"/>
      <c r="H69" s="248" t="str">
        <f>IF(SUM(E69:G69)=0, "", IF($H$56=Lists!$D$8, IFERROR(MROUND(CONVERT(F69-E69,"day","yr")*12, 0.5)&amp;" mo.", ""), IF($H$56=Lists!$D$9, IFERROR(MROUND(CONVERT(G69-E69,"day","yr")*12, 0.5)&amp;" mo.", ""), IFERROR(MROUND(CONVERT(G69-F69,"day","yr")*12, 0.5)&amp;" mo.", ""))))</f>
        <v/>
      </c>
      <c r="I69" s="257" t="s">
        <v>232</v>
      </c>
      <c r="J69" s="50"/>
    </row>
    <row r="70" spans="1:10" x14ac:dyDescent="0.25">
      <c r="A70" s="49"/>
      <c r="B70" s="18" t="s">
        <v>9</v>
      </c>
      <c r="C70" s="19"/>
      <c r="D70" s="20"/>
      <c r="E70" s="82">
        <v>45149</v>
      </c>
      <c r="F70" s="82">
        <v>46276</v>
      </c>
      <c r="G70" s="83"/>
      <c r="H70" s="107" t="str">
        <f>IF(SUM(E70:G70)=0, "", IF($H$56=Lists!$D$8, IFERROR(MROUND(CONVERT(F70-E70,"day","yr")*12, 0.5)&amp;" mo.", ""), IF($H$56=Lists!$D$9, IFERROR(MROUND(CONVERT(G70-E70,"day","yr")*12, 0.5)&amp;" mo.", ""), IFERROR(MROUND(CONVERT(G70-F70,"day","yr")*12, 0.5)&amp;" mo.", ""))))</f>
        <v/>
      </c>
      <c r="I70" s="76"/>
      <c r="J70" s="50"/>
    </row>
    <row r="71" spans="1:10" ht="11.25" customHeight="1" thickBot="1" x14ac:dyDescent="0.3">
      <c r="A71" s="84"/>
      <c r="B71" s="23"/>
      <c r="C71" s="23"/>
      <c r="D71" s="23"/>
      <c r="E71" s="24"/>
      <c r="F71" s="24"/>
      <c r="G71" s="24"/>
      <c r="H71" s="25"/>
      <c r="I71" s="85"/>
      <c r="J71" s="86"/>
    </row>
    <row r="72" spans="1:10" s="62" customFormat="1" ht="27" customHeight="1" thickTop="1" thickBot="1" x14ac:dyDescent="0.3">
      <c r="A72" s="170" t="s">
        <v>152</v>
      </c>
      <c r="B72" s="171"/>
      <c r="C72" s="171"/>
      <c r="D72" s="171"/>
      <c r="E72" s="171"/>
      <c r="F72" s="171"/>
      <c r="G72" s="171"/>
      <c r="H72" s="171"/>
      <c r="I72" s="171"/>
      <c r="J72" s="172"/>
    </row>
    <row r="73" spans="1:10" ht="11.25" customHeight="1" thickTop="1" x14ac:dyDescent="0.25">
      <c r="A73" s="49"/>
      <c r="B73" s="31"/>
      <c r="C73" s="31"/>
      <c r="D73" s="31"/>
      <c r="E73" s="26"/>
      <c r="F73" s="26"/>
      <c r="G73" s="26"/>
      <c r="H73" s="27"/>
      <c r="I73" s="87"/>
      <c r="J73" s="50"/>
    </row>
    <row r="74" spans="1:10" ht="75" customHeight="1" x14ac:dyDescent="0.25">
      <c r="A74" s="49"/>
      <c r="B74" s="160" t="s">
        <v>175</v>
      </c>
      <c r="C74" s="160"/>
      <c r="D74" s="160"/>
      <c r="E74" s="67" t="s">
        <v>195</v>
      </c>
      <c r="F74" s="67" t="s">
        <v>196</v>
      </c>
      <c r="G74" s="67" t="str">
        <f>IF(FCOR=TRUE, "Actual Cost Data at Final Completion", "Actual Costs to Date")</f>
        <v>Actual Costs to Date</v>
      </c>
      <c r="H74" s="67" t="str">
        <f>H56</f>
        <v>Estimate as Currently Funded to Actuals Variance</v>
      </c>
      <c r="I74" s="11" t="s">
        <v>67</v>
      </c>
      <c r="J74" s="50"/>
    </row>
    <row r="75" spans="1:10" x14ac:dyDescent="0.25">
      <c r="A75" s="49"/>
      <c r="B75" s="164" t="s">
        <v>11</v>
      </c>
      <c r="C75" s="165"/>
      <c r="D75" s="165"/>
      <c r="E75" s="165"/>
      <c r="F75" s="165"/>
      <c r="G75" s="165"/>
      <c r="H75" s="165"/>
      <c r="I75" s="166"/>
      <c r="J75" s="50"/>
    </row>
    <row r="76" spans="1:10" x14ac:dyDescent="0.25">
      <c r="A76" s="49"/>
      <c r="B76" s="181" t="s">
        <v>50</v>
      </c>
      <c r="C76" s="182"/>
      <c r="D76" s="183"/>
      <c r="E76" s="88"/>
      <c r="F76" s="88"/>
      <c r="G76" s="144"/>
      <c r="H76" s="138">
        <f>IF($H$56=Lists!$D$8, IFERROR(F76-E76, ""), IF($H$56=Lists!$D$9, IFERROR(G76-E76, ""), IFERROR(G76-F76, "")))</f>
        <v>0</v>
      </c>
      <c r="I76" s="76"/>
      <c r="J76" s="50"/>
    </row>
    <row r="77" spans="1:10" ht="20.25" customHeight="1" x14ac:dyDescent="0.25">
      <c r="A77" s="49"/>
      <c r="B77" s="28"/>
      <c r="C77" s="28"/>
      <c r="D77" s="28"/>
      <c r="E77" s="29"/>
      <c r="F77" s="29"/>
      <c r="G77" s="29"/>
      <c r="H77" s="30"/>
      <c r="I77" s="89"/>
      <c r="J77" s="50"/>
    </row>
    <row r="78" spans="1:10" x14ac:dyDescent="0.25">
      <c r="A78" s="49"/>
      <c r="B78" s="164" t="s">
        <v>12</v>
      </c>
      <c r="C78" s="165"/>
      <c r="D78" s="165"/>
      <c r="E78" s="165"/>
      <c r="F78" s="165"/>
      <c r="G78" s="165"/>
      <c r="H78" s="165"/>
      <c r="I78" s="166"/>
      <c r="J78" s="50"/>
    </row>
    <row r="79" spans="1:10" ht="30" x14ac:dyDescent="0.25">
      <c r="A79" s="49"/>
      <c r="B79" s="12" t="s">
        <v>44</v>
      </c>
      <c r="C79" s="13"/>
      <c r="D79" s="14"/>
      <c r="E79" s="90">
        <v>434934</v>
      </c>
      <c r="F79" s="90">
        <v>206392</v>
      </c>
      <c r="G79" s="91">
        <v>439669</v>
      </c>
      <c r="H79" s="137">
        <f>IF($H$56=Lists!$D$8, IFERROR(F79-E79, ""), IF($H$56=Lists!$D$9, IFERROR(G79-E79, ""), IFERROR(G79-F79, "")))</f>
        <v>233277</v>
      </c>
      <c r="I79" s="113" t="s">
        <v>225</v>
      </c>
      <c r="J79" s="50"/>
    </row>
    <row r="80" spans="1:10" ht="67.5" x14ac:dyDescent="0.25">
      <c r="A80" s="49"/>
      <c r="B80" s="15" t="s">
        <v>164</v>
      </c>
      <c r="D80" s="16"/>
      <c r="E80" s="90">
        <v>1456061</v>
      </c>
      <c r="F80" s="123">
        <v>2312301</v>
      </c>
      <c r="G80" s="143">
        <v>2356237.23</v>
      </c>
      <c r="H80" s="137">
        <f>IF($H$56=Lists!$D$8, IFERROR(F80-E80, ""), IF($H$56=Lists!$D$9, IFERROR(G80-E80, ""), IFERROR(G80-F80, "")))</f>
        <v>43936.229999999981</v>
      </c>
      <c r="I80" s="258" t="s">
        <v>229</v>
      </c>
      <c r="J80" s="50"/>
    </row>
    <row r="81" spans="1:10" x14ac:dyDescent="0.25">
      <c r="A81" s="49"/>
      <c r="B81" s="15" t="s">
        <v>221</v>
      </c>
      <c r="D81" s="16"/>
      <c r="E81" s="90">
        <v>1130769</v>
      </c>
      <c r="F81" s="122">
        <v>1357577</v>
      </c>
      <c r="G81" s="125">
        <v>1023075.63</v>
      </c>
      <c r="H81" s="137">
        <f>IF($H$56=Lists!$D$8, IFERROR(F81-E81, ""), IF($H$56=Lists!$D$9, IFERROR(G81-E81, ""), IFERROR(G81-F81, "")))</f>
        <v>-334501.37</v>
      </c>
      <c r="I81" s="76" t="s">
        <v>224</v>
      </c>
      <c r="J81" s="50"/>
    </row>
    <row r="82" spans="1:10" x14ac:dyDescent="0.25">
      <c r="A82" s="49"/>
      <c r="B82" s="15" t="s">
        <v>165</v>
      </c>
      <c r="D82" s="16"/>
      <c r="E82" s="90">
        <v>679029.63</v>
      </c>
      <c r="F82" s="90">
        <v>1886155.3981623277</v>
      </c>
      <c r="G82" s="146">
        <v>116879.36</v>
      </c>
      <c r="H82" s="137" t="str">
        <f>IF($H$56=Lists!$D$8, IFERROR(#REF!-E82, ""), IF($H$56=Lists!$D$9, IFERROR(G82-E82, ""), IFERROR(G82-#REF!, "")))</f>
        <v/>
      </c>
      <c r="I82" s="76"/>
      <c r="J82" s="50"/>
    </row>
    <row r="83" spans="1:10" s="251" customFormat="1" x14ac:dyDescent="0.25">
      <c r="A83" s="249"/>
      <c r="B83" s="250" t="s">
        <v>166</v>
      </c>
      <c r="D83" s="252"/>
      <c r="E83" s="90">
        <v>850770</v>
      </c>
      <c r="F83" s="90"/>
      <c r="G83" s="90">
        <v>0</v>
      </c>
      <c r="H83" s="253">
        <f>IF($H$56=Lists!$D$8, IFERROR(F82-E83, ""), IF($H$56=Lists!$D$9, IFERROR(G83-E83, ""), IFERROR(G83-F82, "")))</f>
        <v>-1886155.3981623277</v>
      </c>
      <c r="I83" s="254"/>
      <c r="J83" s="255"/>
    </row>
    <row r="84" spans="1:10" x14ac:dyDescent="0.25">
      <c r="A84" s="49"/>
      <c r="B84" s="15" t="s">
        <v>13</v>
      </c>
      <c r="D84" s="16"/>
      <c r="E84" s="90">
        <v>182429</v>
      </c>
      <c r="F84" s="90">
        <v>787975.53981623275</v>
      </c>
      <c r="G84" s="91"/>
      <c r="H84" s="137">
        <f>IF($H$56=Lists!$D$8, IFERROR(F84-E84, ""), IF($H$56=Lists!$D$9, IFERROR(G84-E84, ""), IFERROR(G84-F84, "")))</f>
        <v>-787975.53981623275</v>
      </c>
      <c r="I84" s="92"/>
      <c r="J84" s="50"/>
    </row>
    <row r="85" spans="1:10" x14ac:dyDescent="0.25">
      <c r="A85" s="49"/>
      <c r="B85" s="230" t="s">
        <v>14</v>
      </c>
      <c r="C85" s="231"/>
      <c r="D85" s="232"/>
      <c r="E85" s="32">
        <f>SUM(E79:E84)</f>
        <v>4733992.63</v>
      </c>
      <c r="F85" s="32">
        <f>SUM(F79:F84)</f>
        <v>6550400.9379785601</v>
      </c>
      <c r="G85" s="32">
        <f>SUM(G79:G84)</f>
        <v>3935861.2199999997</v>
      </c>
      <c r="H85" s="33">
        <f>IF($H$56=Lists!$D$8, IFERROR(F85-E85, ""), IF($H$56=Lists!$D$9, IFERROR(G85-E85, ""), IFERROR(G85-F85, "")))</f>
        <v>-2614539.7179785604</v>
      </c>
      <c r="I85" s="93"/>
      <c r="J85" s="50"/>
    </row>
    <row r="86" spans="1:10" ht="9.9499999999999993" customHeight="1" x14ac:dyDescent="0.25">
      <c r="A86" s="49"/>
      <c r="J86" s="50"/>
    </row>
    <row r="87" spans="1:10" x14ac:dyDescent="0.25">
      <c r="A87" s="49"/>
      <c r="B87" s="164" t="s">
        <v>15</v>
      </c>
      <c r="C87" s="165"/>
      <c r="D87" s="165"/>
      <c r="E87" s="165"/>
      <c r="F87" s="165"/>
      <c r="G87" s="165"/>
      <c r="H87" s="165"/>
      <c r="I87" s="166"/>
      <c r="J87" s="50"/>
    </row>
    <row r="88" spans="1:10" ht="15.75" customHeight="1" x14ac:dyDescent="0.25">
      <c r="A88" s="49"/>
      <c r="B88" s="12" t="s">
        <v>45</v>
      </c>
      <c r="C88" s="13"/>
      <c r="D88" s="14"/>
      <c r="E88" s="90">
        <v>1838007</v>
      </c>
      <c r="F88" s="90">
        <v>2554458</v>
      </c>
      <c r="G88" s="145">
        <v>1741103.56</v>
      </c>
      <c r="H88" s="129" t="str">
        <f>IF($H$56=Lists!$D$8, IFERROR(F88-E88, ""), IF($H$56=Lists!$D$9, IFERROR(#REF!-E88, ""), IFERROR(#REF!-F88, "")))</f>
        <v/>
      </c>
      <c r="I88" s="124"/>
      <c r="J88" s="50"/>
    </row>
    <row r="89" spans="1:10" x14ac:dyDescent="0.25">
      <c r="A89" s="49"/>
      <c r="B89" s="15" t="s">
        <v>46</v>
      </c>
      <c r="D89" s="16"/>
      <c r="E89" s="90"/>
      <c r="F89" s="121"/>
      <c r="G89" s="124"/>
      <c r="H89" s="129" t="str">
        <f>IF($H$56=Lists!$D$8, IFERROR(F89-E89, ""), IF($H$56=Lists!$D$9, IFERROR(#REF!-E89, ""), IFERROR(#REF!-F89, "")))</f>
        <v/>
      </c>
      <c r="I89" s="128"/>
      <c r="J89" s="50"/>
    </row>
    <row r="90" spans="1:10" x14ac:dyDescent="0.25">
      <c r="A90" s="49"/>
      <c r="B90" s="15" t="s">
        <v>47</v>
      </c>
      <c r="D90" s="16"/>
      <c r="E90" s="90">
        <v>28668958</v>
      </c>
      <c r="F90" s="90">
        <v>36053085</v>
      </c>
      <c r="G90" s="121"/>
      <c r="H90" s="130">
        <f>IF($H$56=Lists!$D$8, IFERROR(F90-E90, ""), IF($H$56=Lists!$D$9, IFERROR(G90-E90, ""), IFERROR(G90-F90, "")))</f>
        <v>-36053085</v>
      </c>
      <c r="I90" s="92"/>
      <c r="J90" s="50"/>
    </row>
    <row r="91" spans="1:10" x14ac:dyDescent="0.25">
      <c r="A91" s="49"/>
      <c r="B91" s="227" t="s">
        <v>51</v>
      </c>
      <c r="C91" s="228"/>
      <c r="D91" s="229"/>
      <c r="E91" s="131">
        <f>SUM(E88:E90)</f>
        <v>30506965</v>
      </c>
      <c r="F91" s="131">
        <v>29955972.434915774</v>
      </c>
      <c r="G91" s="131">
        <f>SUM(G88:G90)</f>
        <v>1741103.56</v>
      </c>
      <c r="H91" s="129">
        <f>IF($H$56=Lists!$D$8, IFERROR(F91-E91, ""), IF($H$56=Lists!$D$9, IFERROR(G91-E91, ""), IFERROR(G91-F91, "")))</f>
        <v>-28214868.874915775</v>
      </c>
      <c r="I91" s="127"/>
      <c r="J91" s="50"/>
    </row>
    <row r="92" spans="1:10" x14ac:dyDescent="0.25">
      <c r="A92" s="49"/>
      <c r="B92" s="15" t="s">
        <v>48</v>
      </c>
      <c r="D92" s="16"/>
      <c r="E92" s="90">
        <v>1527169</v>
      </c>
      <c r="F92" s="90">
        <v>2995597.2434915775</v>
      </c>
      <c r="G92" s="132"/>
      <c r="H92" s="129">
        <f>IF($H$56=Lists!$D$8, IFERROR(F92-E92, ""), IF($H$56=Lists!$D$9, IFERROR(G92-E92, ""), IFERROR(G92-F92, "")))</f>
        <v>-2995597.2434915775</v>
      </c>
      <c r="I92" s="92"/>
      <c r="J92" s="50"/>
    </row>
    <row r="93" spans="1:10" x14ac:dyDescent="0.25">
      <c r="A93" s="49"/>
      <c r="B93" s="15" t="s">
        <v>49</v>
      </c>
      <c r="D93" s="16"/>
      <c r="E93" s="90"/>
      <c r="F93" s="90"/>
      <c r="G93" s="121"/>
      <c r="H93" s="129">
        <f>IF($H$56=Lists!$D$8, IFERROR(F93-E93, ""), IF($H$56=Lists!$D$9, IFERROR(G93-E93, ""), IFERROR(G93-F93, "")))</f>
        <v>0</v>
      </c>
      <c r="I93" s="92" t="s">
        <v>214</v>
      </c>
      <c r="J93" s="50"/>
    </row>
    <row r="94" spans="1:10" x14ac:dyDescent="0.25">
      <c r="A94" s="49"/>
      <c r="B94" s="15" t="s">
        <v>40</v>
      </c>
      <c r="D94" s="16"/>
      <c r="E94" s="90">
        <v>3235448</v>
      </c>
      <c r="F94" s="90">
        <v>3361060.1071975497</v>
      </c>
      <c r="G94" s="121"/>
      <c r="H94" s="129">
        <f>IF($H$56=Lists!$D$8, IFERROR(F94-E94, ""), IF($H$56=Lists!$D$9, IFERROR(G94-E94, ""), IFERROR(G94-F94, "")))</f>
        <v>-3361060.1071975497</v>
      </c>
      <c r="I94" s="92"/>
      <c r="J94" s="50"/>
    </row>
    <row r="95" spans="1:10" x14ac:dyDescent="0.25">
      <c r="A95" s="49"/>
      <c r="B95" s="15" t="str">
        <f>IF(C53=Lists!J3, "GCCM Costs", IF(C53=Lists!J4, "Design-Build Costs", ""))</f>
        <v/>
      </c>
      <c r="D95" s="16"/>
      <c r="E95" s="121">
        <f>1060002+4030397</f>
        <v>5090399</v>
      </c>
      <c r="F95" s="121"/>
      <c r="G95" s="121"/>
      <c r="H95" s="129">
        <f>IF($H$56=Lists!$D$8, IFERROR(F95-E95, ""), IF($H$56=Lists!$D$9, IFERROR(G95-E95, ""), IFERROR(G95-F95, "")))</f>
        <v>0</v>
      </c>
      <c r="I95" s="133" t="s">
        <v>215</v>
      </c>
      <c r="J95" s="50"/>
    </row>
    <row r="96" spans="1:10" x14ac:dyDescent="0.25">
      <c r="A96" s="49"/>
      <c r="B96" s="15" t="str">
        <f>IF(C53=Lists!J3, "GCCM Risk Contingency", "")</f>
        <v/>
      </c>
      <c r="D96" s="16"/>
      <c r="E96" s="121"/>
      <c r="F96" s="121"/>
      <c r="G96" s="121"/>
      <c r="H96" s="129">
        <f>IF($H$56=Lists!$D$8, IFERROR(F96-E96, ""), IF($H$56=Lists!$D$9, IFERROR(G96-E96, ""), IFERROR(G96-F96, "")))</f>
        <v>0</v>
      </c>
      <c r="I96" s="133"/>
      <c r="J96" s="50"/>
    </row>
    <row r="97" spans="1:10" x14ac:dyDescent="0.25">
      <c r="A97" s="49"/>
      <c r="B97" s="230" t="s">
        <v>52</v>
      </c>
      <c r="C97" s="231"/>
      <c r="D97" s="232"/>
      <c r="E97" s="34">
        <f>SUM(E91:E96)</f>
        <v>40359981</v>
      </c>
      <c r="F97" s="34">
        <f t="shared" ref="F97:G97" si="5">SUM(F91:F96)</f>
        <v>36312629.785604902</v>
      </c>
      <c r="G97" s="34">
        <f t="shared" si="5"/>
        <v>1741103.56</v>
      </c>
      <c r="H97" s="35">
        <f>IF($H$56=Lists!$D$8, IFERROR(F97-E97, ""), IF($H$56=Lists!$D$9, IFERROR(G97-E97, ""), IFERROR(G97-F97, "")))</f>
        <v>-34571526.225604899</v>
      </c>
      <c r="I97" s="77"/>
      <c r="J97" s="50"/>
    </row>
    <row r="98" spans="1:10" ht="14.25" customHeight="1" x14ac:dyDescent="0.25">
      <c r="A98" s="49"/>
      <c r="J98" s="50"/>
    </row>
    <row r="99" spans="1:10" x14ac:dyDescent="0.25">
      <c r="A99" s="49"/>
      <c r="B99" s="164" t="s">
        <v>16</v>
      </c>
      <c r="C99" s="165"/>
      <c r="D99" s="165"/>
      <c r="E99" s="165"/>
      <c r="F99" s="165"/>
      <c r="G99" s="165"/>
      <c r="H99" s="165"/>
      <c r="I99" s="166"/>
      <c r="J99" s="50"/>
    </row>
    <row r="100" spans="1:10" x14ac:dyDescent="0.25">
      <c r="A100" s="49"/>
      <c r="B100" s="36" t="s">
        <v>17</v>
      </c>
      <c r="D100" s="16"/>
      <c r="E100" s="94">
        <v>1612045</v>
      </c>
      <c r="F100" s="94">
        <v>1788183.442</v>
      </c>
      <c r="G100" s="95"/>
      <c r="H100" s="134">
        <f>IF($H$56=Lists!$D$8, IFERROR(F100-E100, ""), IF($H$56=Lists!$D$9, IFERROR(G100-E100, ""), IFERROR(G100-F100, "")))</f>
        <v>-1788183.442</v>
      </c>
      <c r="I100" s="96"/>
      <c r="J100" s="97"/>
    </row>
    <row r="101" spans="1:10" x14ac:dyDescent="0.25">
      <c r="A101" s="49"/>
      <c r="B101" s="36" t="s">
        <v>18</v>
      </c>
      <c r="D101" s="16"/>
      <c r="E101" s="94">
        <v>212840</v>
      </c>
      <c r="F101" s="94">
        <v>212843</v>
      </c>
      <c r="G101" s="95">
        <v>42776.45</v>
      </c>
      <c r="H101" s="134">
        <f>IF($H$56=Lists!$D$8, IFERROR(F101-E101, ""), IF($H$56=Lists!$D$9, IFERROR(G101-E101, ""), IFERROR(G101-F101, "")))</f>
        <v>-170066.55</v>
      </c>
      <c r="I101" s="96"/>
      <c r="J101" s="97"/>
    </row>
    <row r="102" spans="1:10" x14ac:dyDescent="0.25">
      <c r="A102" s="49"/>
      <c r="B102" s="36" t="s">
        <v>53</v>
      </c>
      <c r="D102" s="16"/>
      <c r="E102" s="90">
        <v>88385</v>
      </c>
      <c r="F102" s="90">
        <v>80716</v>
      </c>
      <c r="G102" s="91">
        <v>22472</v>
      </c>
      <c r="H102" s="135">
        <f>IF($H$56=Lists!$D$8, IFERROR(F102-E102, ""), IF($H$56=Lists!$D$9, IFERROR(G102-E102, ""), IFERROR(G102-F102, "")))</f>
        <v>-58244</v>
      </c>
      <c r="I102" s="76"/>
      <c r="J102" s="50"/>
    </row>
    <row r="103" spans="1:10" x14ac:dyDescent="0.25">
      <c r="A103" s="49"/>
      <c r="B103" s="36" t="s">
        <v>147</v>
      </c>
      <c r="D103" s="16"/>
      <c r="E103" s="90">
        <v>1226971</v>
      </c>
      <c r="F103" s="90">
        <v>1423849.8</v>
      </c>
      <c r="G103" s="98">
        <v>307264.39</v>
      </c>
      <c r="H103" s="136">
        <f>IF($H$56=Lists!$D$8, IFERROR(F103-E103, ""), IF($H$56=Lists!$D$9, IFERROR(G103-E103, ""), IFERROR(G103-F103, "")))</f>
        <v>-1116585.4100000001</v>
      </c>
      <c r="I103" s="96" t="s">
        <v>222</v>
      </c>
      <c r="J103" s="97"/>
    </row>
    <row r="104" spans="1:10" ht="15.75" thickBot="1" x14ac:dyDescent="0.3">
      <c r="A104" s="49"/>
      <c r="B104" s="233" t="s">
        <v>54</v>
      </c>
      <c r="C104" s="234"/>
      <c r="D104" s="235"/>
      <c r="E104" s="37">
        <f>SUM(E100:E103)</f>
        <v>3140241</v>
      </c>
      <c r="F104" s="37">
        <f>SUM(F100:F103)</f>
        <v>3505592.2420000001</v>
      </c>
      <c r="G104" s="37">
        <f>SUM(G100:G103)</f>
        <v>372512.84</v>
      </c>
      <c r="H104" s="35">
        <f>IF($H$56=Lists!$D$8, IFERROR(F104-E104, ""), IF($H$56=Lists!$D$9, IFERROR(G104-E104, ""), IFERROR(G104-F104, "")))</f>
        <v>-3133079.4020000002</v>
      </c>
      <c r="I104" s="99"/>
      <c r="J104" s="97"/>
    </row>
    <row r="105" spans="1:10" ht="20.25" thickTop="1" thickBot="1" x14ac:dyDescent="0.35">
      <c r="A105" s="49"/>
      <c r="B105" s="100" t="s">
        <v>145</v>
      </c>
      <c r="C105" s="101"/>
      <c r="D105" s="101"/>
      <c r="E105" s="102">
        <f>SUM(E76,E85,E97,E104)</f>
        <v>48234214.630000003</v>
      </c>
      <c r="F105" s="102">
        <f>SUM(F76,F85,F97,F104)</f>
        <v>46368622.965583459</v>
      </c>
      <c r="G105" s="102">
        <f>SUM(G76,G85,G97,G104)</f>
        <v>6049477.6199999992</v>
      </c>
      <c r="H105" s="102">
        <f>SUM(H76,H85,H97,H104)</f>
        <v>-40319145.345583461</v>
      </c>
      <c r="I105" s="103"/>
      <c r="J105" s="97"/>
    </row>
    <row r="106" spans="1:10" ht="9.9499999999999993" customHeight="1" thickTop="1" x14ac:dyDescent="0.25">
      <c r="A106" s="49"/>
      <c r="B106" s="38"/>
      <c r="C106" s="38"/>
      <c r="D106" s="38"/>
      <c r="E106" s="39"/>
      <c r="F106" s="39"/>
      <c r="G106" s="39"/>
      <c r="H106" s="39"/>
      <c r="I106" s="104"/>
      <c r="J106" s="97"/>
    </row>
    <row r="107" spans="1:10" s="1" customFormat="1" x14ac:dyDescent="0.25">
      <c r="A107" s="53"/>
      <c r="B107" s="167" t="str">
        <f>IF(ReportType=Lists!$O$2, "", "Close-Out Information")</f>
        <v/>
      </c>
      <c r="C107" s="168"/>
      <c r="D107" s="168"/>
      <c r="E107" s="168"/>
      <c r="F107" s="168"/>
      <c r="G107" s="168"/>
      <c r="H107" s="168"/>
      <c r="I107" s="169"/>
      <c r="J107" s="54"/>
    </row>
    <row r="108" spans="1:10" s="1" customFormat="1" x14ac:dyDescent="0.25">
      <c r="A108" s="53"/>
      <c r="B108" s="40"/>
      <c r="C108" s="243"/>
      <c r="D108" s="243"/>
      <c r="E108" s="243" t="str">
        <f>IF(ReportType=Lists!$O$2, "", "NOTES")</f>
        <v/>
      </c>
      <c r="F108" s="243"/>
      <c r="G108" s="243"/>
      <c r="H108" s="243"/>
      <c r="I108" s="180"/>
      <c r="J108" s="54"/>
    </row>
    <row r="109" spans="1:10" ht="15" customHeight="1" x14ac:dyDescent="0.25">
      <c r="A109" s="49"/>
      <c r="B109" s="73" t="str">
        <f>IF(ReportType=Lists!$O$2, "", "Number of Change Orders")</f>
        <v/>
      </c>
      <c r="C109" s="236"/>
      <c r="D109" s="237"/>
      <c r="E109" s="240"/>
      <c r="F109" s="241"/>
      <c r="G109" s="241"/>
      <c r="H109" s="241"/>
      <c r="I109" s="242"/>
      <c r="J109" s="50"/>
    </row>
    <row r="110" spans="1:10" ht="15" customHeight="1" x14ac:dyDescent="0.25">
      <c r="A110" s="49"/>
      <c r="B110" s="73" t="str">
        <f>IF(ReportType=Lists!$O$2, "", "Total Value of Change Orders")</f>
        <v/>
      </c>
      <c r="C110" s="244"/>
      <c r="D110" s="245"/>
      <c r="E110" s="111"/>
      <c r="F110" s="112"/>
      <c r="G110" s="112"/>
      <c r="H110" s="112"/>
      <c r="I110" s="113"/>
      <c r="J110" s="50"/>
    </row>
    <row r="111" spans="1:10" ht="15" customHeight="1" x14ac:dyDescent="0.25">
      <c r="A111" s="49"/>
      <c r="B111" s="73" t="str">
        <f>IF(ReportType=Lists!$O$2, "", "Outstanding Liabilities")</f>
        <v/>
      </c>
      <c r="C111" s="244"/>
      <c r="D111" s="245"/>
      <c r="E111" s="111"/>
      <c r="F111" s="112"/>
      <c r="G111" s="112"/>
      <c r="H111" s="112"/>
      <c r="I111" s="113"/>
      <c r="J111" s="50"/>
    </row>
    <row r="112" spans="1:10" x14ac:dyDescent="0.25">
      <c r="A112" s="49"/>
      <c r="B112" s="18" t="str">
        <f>IF(ReportType=Lists!$O$2, "", "Unsettled Claims")</f>
        <v/>
      </c>
      <c r="C112" s="238"/>
      <c r="D112" s="239"/>
      <c r="E112" s="240"/>
      <c r="F112" s="241"/>
      <c r="G112" s="241"/>
      <c r="H112" s="241"/>
      <c r="I112" s="242"/>
      <c r="J112" s="50"/>
    </row>
    <row r="113" spans="1:10" ht="9.9499999999999993" customHeight="1" x14ac:dyDescent="0.25">
      <c r="A113" s="49"/>
      <c r="J113" s="50"/>
    </row>
    <row r="114" spans="1:10" ht="15.75" thickBot="1" x14ac:dyDescent="0.3">
      <c r="A114" s="49"/>
      <c r="B114" s="1" t="s">
        <v>20</v>
      </c>
      <c r="J114" s="50"/>
    </row>
    <row r="115" spans="1:10" x14ac:dyDescent="0.25">
      <c r="A115" s="49"/>
      <c r="B115" s="218" t="s">
        <v>230</v>
      </c>
      <c r="C115" s="219"/>
      <c r="D115" s="219"/>
      <c r="E115" s="219"/>
      <c r="F115" s="219"/>
      <c r="G115" s="219"/>
      <c r="H115" s="219"/>
      <c r="I115" s="220"/>
      <c r="J115" s="50"/>
    </row>
    <row r="116" spans="1:10" x14ac:dyDescent="0.25">
      <c r="A116" s="49"/>
      <c r="B116" s="221"/>
      <c r="C116" s="222"/>
      <c r="D116" s="222"/>
      <c r="E116" s="222"/>
      <c r="F116" s="222"/>
      <c r="G116" s="222"/>
      <c r="H116" s="222"/>
      <c r="I116" s="223"/>
      <c r="J116" s="50"/>
    </row>
    <row r="117" spans="1:10" x14ac:dyDescent="0.25">
      <c r="A117" s="49"/>
      <c r="B117" s="221"/>
      <c r="C117" s="222"/>
      <c r="D117" s="222"/>
      <c r="E117" s="222"/>
      <c r="F117" s="222"/>
      <c r="G117" s="222"/>
      <c r="H117" s="222"/>
      <c r="I117" s="223"/>
      <c r="J117" s="50"/>
    </row>
    <row r="118" spans="1:10" x14ac:dyDescent="0.25">
      <c r="A118" s="49"/>
      <c r="B118" s="221"/>
      <c r="C118" s="222"/>
      <c r="D118" s="222"/>
      <c r="E118" s="222"/>
      <c r="F118" s="222"/>
      <c r="G118" s="222"/>
      <c r="H118" s="222"/>
      <c r="I118" s="223"/>
      <c r="J118" s="50"/>
    </row>
    <row r="119" spans="1:10" x14ac:dyDescent="0.25">
      <c r="A119" s="49"/>
      <c r="B119" s="221"/>
      <c r="C119" s="222"/>
      <c r="D119" s="222"/>
      <c r="E119" s="222"/>
      <c r="F119" s="222"/>
      <c r="G119" s="222"/>
      <c r="H119" s="222"/>
      <c r="I119" s="223"/>
      <c r="J119" s="50"/>
    </row>
    <row r="120" spans="1:10" x14ac:dyDescent="0.25">
      <c r="A120" s="49"/>
      <c r="B120" s="221"/>
      <c r="C120" s="222"/>
      <c r="D120" s="222"/>
      <c r="E120" s="222"/>
      <c r="F120" s="222"/>
      <c r="G120" s="222"/>
      <c r="H120" s="222"/>
      <c r="I120" s="223"/>
      <c r="J120" s="50"/>
    </row>
    <row r="121" spans="1:10" x14ac:dyDescent="0.25">
      <c r="A121" s="49"/>
      <c r="B121" s="221"/>
      <c r="C121" s="222"/>
      <c r="D121" s="222"/>
      <c r="E121" s="222"/>
      <c r="F121" s="222"/>
      <c r="G121" s="222"/>
      <c r="H121" s="222"/>
      <c r="I121" s="223"/>
      <c r="J121" s="50"/>
    </row>
    <row r="122" spans="1:10" x14ac:dyDescent="0.25">
      <c r="A122" s="49"/>
      <c r="B122" s="221"/>
      <c r="C122" s="222"/>
      <c r="D122" s="222"/>
      <c r="E122" s="222"/>
      <c r="F122" s="222"/>
      <c r="G122" s="222"/>
      <c r="H122" s="222"/>
      <c r="I122" s="223"/>
      <c r="J122" s="50"/>
    </row>
    <row r="123" spans="1:10" hidden="1" x14ac:dyDescent="0.25">
      <c r="A123" s="49"/>
      <c r="B123" s="221"/>
      <c r="C123" s="222"/>
      <c r="D123" s="222"/>
      <c r="E123" s="222"/>
      <c r="F123" s="222"/>
      <c r="G123" s="222"/>
      <c r="H123" s="222"/>
      <c r="I123" s="223"/>
      <c r="J123" s="50"/>
    </row>
    <row r="124" spans="1:10" hidden="1" x14ac:dyDescent="0.25">
      <c r="A124" s="49"/>
      <c r="B124" s="221"/>
      <c r="C124" s="222"/>
      <c r="D124" s="222"/>
      <c r="E124" s="222"/>
      <c r="F124" s="222"/>
      <c r="G124" s="222"/>
      <c r="H124" s="222"/>
      <c r="I124" s="223"/>
      <c r="J124" s="50"/>
    </row>
    <row r="125" spans="1:10" hidden="1" x14ac:dyDescent="0.25">
      <c r="A125" s="49"/>
      <c r="B125" s="221"/>
      <c r="C125" s="222"/>
      <c r="D125" s="222"/>
      <c r="E125" s="222"/>
      <c r="F125" s="222"/>
      <c r="G125" s="222"/>
      <c r="H125" s="222"/>
      <c r="I125" s="223"/>
      <c r="J125" s="50"/>
    </row>
    <row r="126" spans="1:10" ht="8.4499999999999993" customHeight="1" x14ac:dyDescent="0.25">
      <c r="A126" s="49"/>
      <c r="B126" s="221"/>
      <c r="C126" s="222"/>
      <c r="D126" s="222"/>
      <c r="E126" s="222"/>
      <c r="F126" s="222"/>
      <c r="G126" s="222"/>
      <c r="H126" s="222"/>
      <c r="I126" s="223"/>
      <c r="J126" s="50"/>
    </row>
    <row r="127" spans="1:10" ht="8.4499999999999993" customHeight="1" x14ac:dyDescent="0.25">
      <c r="A127" s="49"/>
      <c r="B127" s="221"/>
      <c r="C127" s="222"/>
      <c r="D127" s="222"/>
      <c r="E127" s="222"/>
      <c r="F127" s="222"/>
      <c r="G127" s="222"/>
      <c r="H127" s="222"/>
      <c r="I127" s="223"/>
      <c r="J127" s="50"/>
    </row>
    <row r="128" spans="1:10" ht="8.4499999999999993" customHeight="1" x14ac:dyDescent="0.25">
      <c r="A128" s="49"/>
      <c r="B128" s="221"/>
      <c r="C128" s="222"/>
      <c r="D128" s="222"/>
      <c r="E128" s="222"/>
      <c r="F128" s="222"/>
      <c r="G128" s="222"/>
      <c r="H128" s="222"/>
      <c r="I128" s="223"/>
      <c r="J128" s="50"/>
    </row>
    <row r="129" spans="1:10" x14ac:dyDescent="0.25">
      <c r="A129" s="49"/>
      <c r="B129" s="221"/>
      <c r="C129" s="222"/>
      <c r="D129" s="222"/>
      <c r="E129" s="222"/>
      <c r="F129" s="222"/>
      <c r="G129" s="222"/>
      <c r="H129" s="222"/>
      <c r="I129" s="223"/>
      <c r="J129" s="50"/>
    </row>
    <row r="130" spans="1:10" x14ac:dyDescent="0.25">
      <c r="A130" s="49"/>
      <c r="B130" s="221"/>
      <c r="C130" s="222"/>
      <c r="D130" s="222"/>
      <c r="E130" s="222"/>
      <c r="F130" s="222"/>
      <c r="G130" s="222"/>
      <c r="H130" s="222"/>
      <c r="I130" s="223"/>
      <c r="J130" s="50"/>
    </row>
    <row r="131" spans="1:10" x14ac:dyDescent="0.25">
      <c r="A131" s="49"/>
      <c r="B131" s="221"/>
      <c r="C131" s="222"/>
      <c r="D131" s="222"/>
      <c r="E131" s="222"/>
      <c r="F131" s="222"/>
      <c r="G131" s="222"/>
      <c r="H131" s="222"/>
      <c r="I131" s="223"/>
      <c r="J131" s="50"/>
    </row>
    <row r="132" spans="1:10" x14ac:dyDescent="0.25">
      <c r="A132" s="49"/>
      <c r="B132" s="221"/>
      <c r="C132" s="222"/>
      <c r="D132" s="222"/>
      <c r="E132" s="222"/>
      <c r="F132" s="222"/>
      <c r="G132" s="222"/>
      <c r="H132" s="222"/>
      <c r="I132" s="223"/>
      <c r="J132" s="50"/>
    </row>
    <row r="133" spans="1:10" x14ac:dyDescent="0.25">
      <c r="A133" s="49"/>
      <c r="B133" s="221"/>
      <c r="C133" s="222"/>
      <c r="D133" s="222"/>
      <c r="E133" s="222"/>
      <c r="F133" s="222"/>
      <c r="G133" s="222"/>
      <c r="H133" s="222"/>
      <c r="I133" s="223"/>
      <c r="J133" s="50"/>
    </row>
    <row r="134" spans="1:10" ht="15.75" thickBot="1" x14ac:dyDescent="0.3">
      <c r="A134" s="49"/>
      <c r="B134" s="224"/>
      <c r="C134" s="225"/>
      <c r="D134" s="225"/>
      <c r="E134" s="225"/>
      <c r="F134" s="225"/>
      <c r="G134" s="225"/>
      <c r="H134" s="225"/>
      <c r="I134" s="226"/>
      <c r="J134" s="50"/>
    </row>
    <row r="135" spans="1:10" ht="9.9499999999999993" customHeight="1" thickBot="1" x14ac:dyDescent="0.3">
      <c r="A135" s="84"/>
      <c r="B135" s="56"/>
      <c r="C135" s="56"/>
      <c r="D135" s="56"/>
      <c r="E135" s="56"/>
      <c r="F135" s="56"/>
      <c r="G135" s="56"/>
      <c r="H135" s="56"/>
      <c r="I135" s="56"/>
      <c r="J135" s="86"/>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78 A88:F90 E82:G84">
    <cfRule type="expression" dxfId="0" priority="9">
      <formula>CELL("PROTECT", A1)=0</formula>
    </cfRule>
  </conditionalFormatting>
  <conditionalFormatting sqref="A91:J99">
    <cfRule type="expression" dxfId="6" priority="4">
      <formula>CELL("PROTECT", A91)=0</formula>
    </cfRule>
  </conditionalFormatting>
  <conditionalFormatting sqref="A100:J103">
    <cfRule type="expression" dxfId="5" priority="1">
      <formula>CELL("PROTECT", A100)=0</formula>
    </cfRule>
  </conditionalFormatting>
  <conditionalFormatting sqref="A104:J109 A110:C111 E110:J111 A112:J135 A79:D84 H81:J84 A85:J87 H88:H89 J88:J89 G90:J90">
    <cfRule type="expression" dxfId="4" priority="15">
      <formula>CELL("PROTECT", A79)=0</formula>
    </cfRule>
  </conditionalFormatting>
  <conditionalFormatting sqref="E95:I96">
    <cfRule type="expression" dxfId="2" priority="3">
      <formula>$B95=""</formula>
    </cfRule>
  </conditionalFormatting>
  <conditionalFormatting sqref="E79:J80 E81 G81">
    <cfRule type="expression" dxfId="1" priority="10">
      <formula>CELL("PROTECT", E79)=0</formula>
    </cfRule>
  </conditionalFormatting>
  <dataValidations count="1">
    <dataValidation type="list" allowBlank="1" showInputMessage="1" showErrorMessage="1" sqref="K63" xr:uid="{00000000-0002-0000-0100-000000000000}">
      <formula1>"PMoptions"</formula1>
    </dataValidation>
  </dataValidations>
  <hyperlinks>
    <hyperlink ref="C12" r:id="rId1" xr:uid="{AEC538A6-C072-49CC-B33A-352DE3B4B071}"/>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3"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4" zoomScaleNormal="100" workbookViewId="0">
      <selection activeCell="V61" sqref="V61"/>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46" t="s">
        <v>203</v>
      </c>
      <c r="B1" s="246"/>
      <c r="C1" s="246"/>
      <c r="D1" s="246"/>
      <c r="E1" s="246"/>
      <c r="F1" s="246"/>
      <c r="G1" s="246"/>
      <c r="H1" s="246"/>
      <c r="I1" s="246"/>
      <c r="J1" s="246"/>
      <c r="K1" s="246"/>
      <c r="L1" s="246"/>
      <c r="M1" s="246"/>
      <c r="N1" s="246"/>
      <c r="O1" s="246"/>
      <c r="P1" s="246"/>
      <c r="Q1" s="246"/>
      <c r="R1" s="246"/>
      <c r="S1" s="118"/>
      <c r="T1" s="117"/>
      <c r="U1" s="117"/>
      <c r="V1" s="117"/>
      <c r="W1" s="117"/>
      <c r="X1" s="117"/>
      <c r="Y1" s="117"/>
      <c r="Z1" s="117"/>
      <c r="AA1" s="117"/>
      <c r="AB1" s="117"/>
      <c r="AC1" s="117"/>
      <c r="AD1" s="117"/>
      <c r="AE1" s="117"/>
    </row>
    <row r="2" spans="1:31" ht="15" customHeight="1" x14ac:dyDescent="0.35">
      <c r="A2" s="246"/>
      <c r="B2" s="246"/>
      <c r="C2" s="246"/>
      <c r="D2" s="246"/>
      <c r="E2" s="246"/>
      <c r="F2" s="246"/>
      <c r="G2" s="246"/>
      <c r="H2" s="246"/>
      <c r="I2" s="246"/>
      <c r="J2" s="246"/>
      <c r="K2" s="246"/>
      <c r="L2" s="246"/>
      <c r="M2" s="246"/>
      <c r="N2" s="246"/>
      <c r="O2" s="246"/>
      <c r="P2" s="246"/>
      <c r="Q2" s="246"/>
      <c r="R2" s="246"/>
      <c r="S2" s="118"/>
      <c r="T2" s="117"/>
      <c r="U2" s="117"/>
      <c r="V2" s="117"/>
      <c r="W2" s="117"/>
      <c r="X2" s="117"/>
      <c r="Y2" s="117"/>
      <c r="Z2" s="117"/>
      <c r="AA2" s="117"/>
      <c r="AB2" s="117"/>
      <c r="AC2" s="117"/>
      <c r="AD2" s="117"/>
      <c r="AE2" s="117"/>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0"/>
      <c r="I1" s="1"/>
      <c r="J1" s="1"/>
      <c r="K1" s="1"/>
      <c r="L1" s="1"/>
      <c r="M1" s="1" t="s">
        <v>167</v>
      </c>
      <c r="N1" s="1"/>
      <c r="O1" s="1" t="s">
        <v>168</v>
      </c>
    </row>
    <row r="2" spans="2:15" ht="15" customHeight="1" x14ac:dyDescent="0.25">
      <c r="B2" t="s">
        <v>97</v>
      </c>
      <c r="D2" t="s">
        <v>138</v>
      </c>
      <c r="F2" t="s">
        <v>141</v>
      </c>
      <c r="H2" s="2" t="s">
        <v>23</v>
      </c>
      <c r="J2" t="s">
        <v>55</v>
      </c>
      <c r="M2" t="s">
        <v>205</v>
      </c>
      <c r="O2" t="s">
        <v>169</v>
      </c>
    </row>
    <row r="3" spans="2:15" ht="15" customHeight="1" x14ac:dyDescent="0.25">
      <c r="B3" t="s">
        <v>98</v>
      </c>
      <c r="D3" t="s">
        <v>139</v>
      </c>
      <c r="F3" t="s">
        <v>59</v>
      </c>
      <c r="H3" s="3" t="s">
        <v>24</v>
      </c>
      <c r="J3" t="s">
        <v>170</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171</v>
      </c>
      <c r="H8" s="2" t="s">
        <v>21</v>
      </c>
      <c r="M8" t="str">
        <f ca="1">TEXT(DATE(YEAR(TODAY()), MONTH(TODAY())+ROWS($M$2:$M8)-1, DAY(1)), "MMMM YYYY")</f>
        <v>December 2025</v>
      </c>
    </row>
    <row r="9" spans="2:15" ht="15" customHeight="1" x14ac:dyDescent="0.25">
      <c r="B9" t="s">
        <v>101</v>
      </c>
      <c r="D9" t="s">
        <v>172</v>
      </c>
      <c r="H9" s="3" t="s">
        <v>28</v>
      </c>
      <c r="M9" t="str">
        <f ca="1">TEXT(DATE(YEAR(TODAY()), MONTH(TODAY())+ROWS($M$2:$M9)-1, DAY(1)), "MMMM YYYY")</f>
        <v>January 2026</v>
      </c>
    </row>
    <row r="10" spans="2:15" ht="15" customHeight="1" x14ac:dyDescent="0.25">
      <c r="B10" t="s">
        <v>77</v>
      </c>
      <c r="D10" t="s">
        <v>194</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 Bellevue College Center for Transdisciplinary Center</dc:title>
  <dc:creator>Office of Financial Management;Christine Thomas</dc:creator>
  <cp:lastModifiedBy>Susan Locke</cp:lastModifiedBy>
  <cp:lastPrinted>2025-06-24T16:51:27Z</cp:lastPrinted>
  <dcterms:created xsi:type="dcterms:W3CDTF">2012-08-29T14:59:47Z</dcterms:created>
  <dcterms:modified xsi:type="dcterms:W3CDTF">2025-06-24T16:56:22Z</dcterms:modified>
</cp:coreProperties>
</file>