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AA6E32D9-DF9A-4F97-8DD0-A639DAD5DBC0}"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Report'!$A$1:$J$137</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7" i="3" l="1"/>
  <c r="H48" i="3"/>
  <c r="E46" i="3"/>
  <c r="E44" i="3"/>
  <c r="M26" i="4" l="1"/>
  <c r="M3" i="4"/>
  <c r="M4" i="4"/>
  <c r="M5" i="4"/>
  <c r="M6" i="4"/>
  <c r="M7" i="4"/>
  <c r="M8" i="4"/>
  <c r="M9" i="4"/>
  <c r="M10" i="4"/>
  <c r="M11" i="4"/>
  <c r="M12" i="4"/>
  <c r="M13" i="4"/>
  <c r="M14" i="4"/>
  <c r="M15" i="4"/>
  <c r="M16" i="4"/>
  <c r="M17" i="4"/>
  <c r="M18" i="4"/>
  <c r="M19" i="4"/>
  <c r="M20" i="4"/>
  <c r="M21" i="4"/>
  <c r="M22" i="4"/>
  <c r="M23" i="4"/>
  <c r="M24" i="4"/>
  <c r="M25" i="4"/>
  <c r="H67" i="3" l="1"/>
  <c r="H68" i="3"/>
  <c r="H70" i="3"/>
  <c r="H71" i="3"/>
  <c r="H72" i="3"/>
  <c r="H69" i="3"/>
  <c r="H45" i="3" l="1"/>
  <c r="H40" i="3"/>
  <c r="H35" i="3"/>
  <c r="H36" i="3"/>
  <c r="H37" i="3"/>
  <c r="B114" i="3" l="1"/>
  <c r="B113" i="3"/>
  <c r="B112" i="3"/>
  <c r="B109" i="3"/>
  <c r="B111" i="3"/>
  <c r="E110" i="3"/>
  <c r="H105" i="3"/>
  <c r="H104" i="3"/>
  <c r="H103" i="3"/>
  <c r="H102" i="3"/>
  <c r="H98" i="3"/>
  <c r="H97" i="3"/>
  <c r="H96" i="3"/>
  <c r="H95" i="3"/>
  <c r="H94" i="3"/>
  <c r="H92" i="3"/>
  <c r="H91" i="3"/>
  <c r="H90" i="3"/>
  <c r="H86" i="3"/>
  <c r="H85" i="3"/>
  <c r="H84" i="3"/>
  <c r="H83" i="3"/>
  <c r="H82" i="3"/>
  <c r="H81" i="3"/>
  <c r="H78" i="3"/>
  <c r="H63" i="3"/>
  <c r="H62" i="3"/>
  <c r="H60" i="3"/>
  <c r="H59" i="3"/>
  <c r="H76" i="3" l="1"/>
  <c r="E61" i="3"/>
  <c r="F61" i="3"/>
  <c r="G61" i="3"/>
  <c r="H61" i="3" l="1"/>
  <c r="B98" i="3"/>
  <c r="B97" i="3"/>
  <c r="G76" i="3" l="1"/>
  <c r="G58" i="3"/>
  <c r="F93" i="3" l="1"/>
  <c r="F99" i="3" s="1"/>
  <c r="G93" i="3"/>
  <c r="E93" i="3"/>
  <c r="E99" i="3" s="1"/>
  <c r="H93" i="3" l="1"/>
  <c r="G99" i="3"/>
  <c r="H99" i="3" s="1"/>
  <c r="H49" i="3"/>
  <c r="H46" i="3"/>
  <c r="H44" i="3"/>
  <c r="H42" i="3"/>
  <c r="H41" i="3"/>
  <c r="H39" i="3"/>
  <c r="H34" i="3"/>
  <c r="G43" i="3"/>
  <c r="F43" i="3"/>
  <c r="E43" i="3"/>
  <c r="D43" i="3"/>
  <c r="C43" i="3"/>
  <c r="G38" i="3"/>
  <c r="F38" i="3"/>
  <c r="E38" i="3"/>
  <c r="D38" i="3"/>
  <c r="C38" i="3"/>
  <c r="D33" i="3"/>
  <c r="E33" i="3"/>
  <c r="F33" i="3"/>
  <c r="G33" i="3"/>
  <c r="C33" i="3"/>
  <c r="H43" i="3" l="1"/>
  <c r="H38" i="3"/>
  <c r="H33" i="3"/>
  <c r="D50" i="3"/>
  <c r="C50" i="3"/>
  <c r="G50" i="3"/>
  <c r="F50" i="3"/>
  <c r="E50" i="3"/>
  <c r="F106" i="3"/>
  <c r="G106" i="3"/>
  <c r="H106" i="3" s="1"/>
  <c r="H50" i="3" l="1"/>
  <c r="F87" i="3" l="1"/>
  <c r="E106" i="3"/>
  <c r="G87" i="3" l="1"/>
  <c r="H87" i="3" s="1"/>
  <c r="E87" i="3"/>
  <c r="H107" i="3" l="1"/>
  <c r="E64" i="3"/>
  <c r="E107" i="3"/>
  <c r="E65" i="3"/>
  <c r="G64" i="3"/>
  <c r="F64" i="3"/>
  <c r="F65" i="3"/>
  <c r="G107" i="3"/>
  <c r="G65" i="3"/>
  <c r="H64" i="3" l="1"/>
  <c r="H65" i="3"/>
  <c r="F107" i="3"/>
</calcChain>
</file>

<file path=xl/sharedStrings.xml><?xml version="1.0" encoding="utf-8"?>
<sst xmlns="http://schemas.openxmlformats.org/spreadsheetml/2006/main" count="252" uniqueCount="232">
  <si>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</si>
  <si>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</si>
  <si>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</si>
  <si>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</si>
  <si>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</si>
  <si>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</si>
  <si>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</si>
  <si>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</si>
  <si>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</si>
  <si>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</si>
  <si>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</si>
  <si>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</si>
  <si>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</si>
  <si>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</si>
  <si>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</si>
  <si>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</si>
  <si>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</si>
  <si>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</si>
  <si>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</si>
  <si>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</si>
  <si>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</si>
  <si>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</si>
  <si>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</si>
  <si>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</si>
  <si>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</si>
  <si>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</si>
  <si>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</si>
  <si>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</si>
  <si>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</si>
  <si>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</si>
  <si>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</si>
  <si>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</si>
  <si>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</si>
  <si>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</si>
  <si>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</si>
  <si>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</si>
  <si>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</si>
  <si>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</si>
  <si>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</si>
  <si>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</si>
  <si>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</si>
  <si>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</si>
  <si>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</si>
  <si>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</si>
  <si>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</si>
  <si>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</si>
  <si>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</si>
  <si>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</si>
  <si>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</si>
  <si>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</si>
  <si>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</si>
  <si>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</si>
  <si>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</si>
  <si>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</si>
  <si>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</si>
  <si>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</si>
  <si>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</si>
  <si>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</si>
  <si>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</si>
  <si>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</si>
  <si>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</si>
  <si>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</si>
  <si>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</si>
  <si>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</si>
  <si>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</si>
  <si>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</si>
  <si>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</si>
  <si>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</si>
  <si>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</si>
  <si>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</si>
  <si>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</si>
  <si>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</si>
  <si>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</si>
  <si>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</si>
  <si>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</si>
  <si>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</si>
  <si>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</si>
  <si>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</si>
  <si>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</si>
  <si>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</si>
  <si>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</si>
  <si>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</si>
  <si>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</si>
  <si>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</si>
  <si>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</si>
  <si>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</si>
  <si>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</si>
  <si>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</si>
  <si>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</si>
  <si>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</si>
  <si>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</si>
  <si>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</si>
  <si>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</si>
  <si>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</si>
  <si>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</si>
  <si>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</si>
  <si>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</si>
  <si>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</si>
  <si>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</si>
  <si>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</si>
  <si>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</si>
  <si>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</si>
  <si>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</si>
  <si>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</si>
  <si>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</si>
  <si>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</si>
  <si>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</si>
  <si>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</si>
  <si>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</si>
  <si>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</si>
  <si>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</si>
  <si>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</si>
  <si>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</si>
  <si>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</si>
  <si>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</si>
  <si>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</si>
  <si>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</si>
  <si>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</si>
  <si>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</si>
  <si>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</si>
  <si>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</si>
  <si>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</si>
  <si>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</si>
  <si>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</si>
  <si>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</si>
  <si>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</si>
  <si>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</si>
  <si>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</si>
  <si>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</si>
  <si>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</si>
  <si>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</si>
  <si>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</si>
  <si>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</si>
  <si>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</si>
  <si>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</si>
  <si>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</si>
  <si>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</si>
  <si>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</si>
  <si>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</si>
  <si>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</si>
  <si>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</si>
  <si>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</si>
  <si>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</si>
  <si>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</si>
  <si>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</si>
  <si>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</si>
  <si>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</si>
  <si>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</si>
  <si>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</si>
  <si>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</si>
  <si>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</si>
  <si>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</si>
  <si>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</si>
  <si>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</si>
  <si>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</si>
  <si>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</si>
  <si>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</si>
  <si>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</si>
  <si>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</si>
  <si>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</si>
  <si>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</si>
  <si>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</si>
  <si>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</si>
  <si>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</si>
  <si>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</si>
  <si>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</si>
  <si>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</si>
  <si>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</si>
  <si>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</si>
  <si>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</si>
  <si>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</si>
  <si>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</si>
  <si>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</si>
  <si>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</si>
  <si>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</si>
  <si>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</si>
  <si>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</si>
  <si>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</si>
  <si>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</si>
  <si>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</si>
  <si>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</si>
  <si>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</si>
  <si>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</si>
  <si>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</si>
  <si>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</si>
  <si>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</si>
  <si>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</si>
  <si>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</si>
  <si>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</si>
  <si>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</si>
  <si>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</si>
  <si>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</si>
  <si>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</si>
  <si>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</si>
  <si>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</si>
  <si>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</si>
  <si>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</si>
  <si>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</si>
  <si>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</si>
  <si>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</si>
  <si>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</si>
  <si>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</si>
  <si>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</si>
  <si>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</si>
  <si>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</si>
  <si>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</si>
  <si>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</si>
  <si>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</si>
  <si>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</si>
  <si>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</si>
  <si>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</si>
  <si>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 Fort Steilacoom Olympic South Asbestos Abatement</t>
  </si>
  <si>
    <t>In March of 2021 asbestos contamination was found in surface dust in the Olympic South building. Asbestos was discovered in the dust of the HVAC and electrical systems throughout levels 1, 2 and 3. Asbestos contamination was found on contents of Levels 1 and 2, however no significant asbestos was discovered on contents on level 3.  The project is declared an emergency. The programs that are now displaced by this project include Early Childhood Education, Visual Art, Music, and Central Washington University's Pierce County satellite.</t>
  </si>
  <si>
    <t>060 - Hazmat/Emergency Pool</t>
  </si>
  <si>
    <t>147 - Local Funds</t>
  </si>
  <si>
    <t>057- Minor Works Program</t>
  </si>
  <si>
    <t>060-MW 21-23 URF fund</t>
  </si>
  <si>
    <t>C21-Q585/Q559</t>
  </si>
  <si>
    <t>P612</t>
  </si>
  <si>
    <t>A09-Q572</t>
  </si>
  <si>
    <t>C21-Q363</t>
  </si>
  <si>
    <t>Ads, Moving &amp; Storage, Honorarium</t>
  </si>
  <si>
    <t>C28-Q618</t>
  </si>
  <si>
    <t>Now 01/06/25</t>
  </si>
  <si>
    <t>057  - State Bldg. Const Acct</t>
  </si>
  <si>
    <t>% of Bldg. Area that is being remodeled</t>
  </si>
  <si>
    <t>Wa Arts Commission Dec. 2024: artist Dionne Bonner in design phase</t>
  </si>
  <si>
    <t>June 2025</t>
  </si>
  <si>
    <t>Kristen Curiale</t>
  </si>
  <si>
    <t>253-964-6729</t>
  </si>
  <si>
    <t>KCuriale@pierce.ctc.edu</t>
  </si>
  <si>
    <t>The building was re-occupied at the start of Spring Quarter 2025. The building is open for business and is well received. The progressive design build delivery method was perfect for this project. The entire team notes this project as one of the highlights of our collective careers. The project has equipment that is long-lead and still on order and expected to arrive after July 1, 2025.  Additional abatement may be required to replace a security camera that was removed as part of the first phase of asbestos abatement but was overlooked in the reconstruction 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</si>
</sst>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4"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6">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320862</xdr:colOff>
      <xdr:row>5</xdr:row>
      <xdr:rowOff>70473</xdr:rowOff>
    </xdr:from>
    <xdr:to>
      <xdr:col>6</xdr:col>
      <xdr:colOff>516471</xdr:colOff>
      <xdr:row>19</xdr:row>
      <xdr:rowOff>169554</xdr:rowOff>
    </xdr:to>
    <xdr:pic>
      <xdr:nvPicPr>
        <xdr:cNvPr id="2" name="Picture 1" descr="Level 3 Reception Area Framed Walls&#10;">
          <a:extLst>
            <a:ext uri="{FF2B5EF4-FFF2-40B4-BE49-F238E27FC236}">
              <a16:creationId xmlns:a16="http://schemas.microsoft.com/office/drawing/2014/main" id="{789D6760-81BE-4D99-998E-4ABD5523B58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19362" y="9467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577850</xdr:colOff>
      <xdr:row>20</xdr:row>
      <xdr:rowOff>101600</xdr:rowOff>
    </xdr:from>
    <xdr:to>
      <xdr:col>7</xdr:col>
      <xdr:colOff>142875</xdr:colOff>
      <xdr:row>21</xdr:row>
      <xdr:rowOff>142875</xdr:rowOff>
    </xdr:to>
    <xdr:sp macro="" textlink="" fLocksText="0">
      <xdr:nvSpPr>
        <xdr:cNvPr id="3" name="TextBox 2" descr="Level 3 Reception Area Framed Walls&#10;">
          <a:extLst>
            <a:ext uri="{FF2B5EF4-FFF2-40B4-BE49-F238E27FC236}">
              <a16:creationId xmlns:a16="http://schemas.microsoft.com/office/drawing/2014/main" id="{FE81C87C-9D07-4E08-BFEB-90471F52D0EC}"/>
            </a:ext>
          </a:extLst>
        </xdr:cNvPr>
        <xdr:cNvSpPr txBox="1"/>
      </xdr:nvSpPr>
      <xdr:spPr>
        <a:xfrm>
          <a:off x="577850" y="3673475"/>
          <a:ext cx="4098925"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Reception Area Framed Walls</a:t>
          </a:r>
        </a:p>
      </xdr:txBody>
    </xdr:sp>
    <xdr:clientData fLocksWithSheet="0"/>
  </xdr:twoCellAnchor>
  <xdr:twoCellAnchor>
    <xdr:from>
      <xdr:col>11</xdr:col>
      <xdr:colOff>83375</xdr:colOff>
      <xdr:row>7</xdr:row>
      <xdr:rowOff>35233</xdr:rowOff>
    </xdr:from>
    <xdr:to>
      <xdr:col>15</xdr:col>
      <xdr:colOff>55457</xdr:colOff>
      <xdr:row>18</xdr:row>
      <xdr:rowOff>14294</xdr:rowOff>
    </xdr:to>
    <xdr:pic>
      <xdr:nvPicPr>
        <xdr:cNvPr id="4" name="Picture 3" descr="Elevator pit and demarcation fabric&#10;">
          <a:extLst>
            <a:ext uri="{FF2B5EF4-FFF2-40B4-BE49-F238E27FC236}">
              <a16:creationId xmlns:a16="http://schemas.microsoft.com/office/drawing/2014/main" id="{64BE83CF-5C1E-4279-AB84-8BFFEFC1BE1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538275" y="12925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552450</xdr:colOff>
      <xdr:row>18</xdr:row>
      <xdr:rowOff>38100</xdr:rowOff>
    </xdr:from>
    <xdr:to>
      <xdr:col>15</xdr:col>
      <xdr:colOff>387350</xdr:colOff>
      <xdr:row>19</xdr:row>
      <xdr:rowOff>168275</xdr:rowOff>
    </xdr:to>
    <xdr:sp macro="" textlink="" fLocksText="0">
      <xdr:nvSpPr>
        <xdr:cNvPr id="5" name="TextBox 4" descr="Elevator pit and demarcation fabric&#10;">
          <a:extLst>
            <a:ext uri="{FF2B5EF4-FFF2-40B4-BE49-F238E27FC236}">
              <a16:creationId xmlns:a16="http://schemas.microsoft.com/office/drawing/2014/main" id="{2CF457C2-82CE-45DF-B8BE-69A1E5E42944}"/>
            </a:ext>
          </a:extLst>
        </xdr:cNvPr>
        <xdr:cNvSpPr txBox="1"/>
      </xdr:nvSpPr>
      <xdr:spPr>
        <a:xfrm>
          <a:off x="6819900" y="3248025"/>
          <a:ext cx="3073400" cy="3111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Elevator pit and demarcation fabric</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516471</xdr:colOff>
      <xdr:row>40</xdr:row>
      <xdr:rowOff>169554</xdr:rowOff>
    </xdr:to>
    <xdr:pic>
      <xdr:nvPicPr>
        <xdr:cNvPr id="6" name="Picture 5" descr="Level 2 wall framing at art studios&#10;">
          <a:extLst>
            <a:ext uri="{FF2B5EF4-FFF2-40B4-BE49-F238E27FC236}">
              <a16:creationId xmlns:a16="http://schemas.microsoft.com/office/drawing/2014/main" id="{B320903B-C6AD-4F72-8384-F42AE2C8E5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19362" y="4947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615951</xdr:colOff>
      <xdr:row>41</xdr:row>
      <xdr:rowOff>76200</xdr:rowOff>
    </xdr:from>
    <xdr:to>
      <xdr:col>7</xdr:col>
      <xdr:colOff>95251</xdr:colOff>
      <xdr:row>42</xdr:row>
      <xdr:rowOff>123825</xdr:rowOff>
    </xdr:to>
    <xdr:sp macro="" textlink="" fLocksText="0">
      <xdr:nvSpPr>
        <xdr:cNvPr id="7" name="TextBox 6" descr="Level 2 wall framing at art studios&#10;">
          <a:extLst>
            <a:ext uri="{FF2B5EF4-FFF2-40B4-BE49-F238E27FC236}">
              <a16:creationId xmlns:a16="http://schemas.microsoft.com/office/drawing/2014/main" id="{54084F75-3294-4D4B-833A-0CA0C7EE4B86}"/>
            </a:ext>
          </a:extLst>
        </xdr:cNvPr>
        <xdr:cNvSpPr txBox="1"/>
      </xdr:nvSpPr>
      <xdr:spPr>
        <a:xfrm>
          <a:off x="615951" y="7448550"/>
          <a:ext cx="4013200"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wall framing at art studios</a:t>
          </a:r>
          <a:endParaRPr lang="en-US" sz="1100" b="1">
            <a:solidFill>
              <a:schemeClr val="bg1"/>
            </a:solidFill>
          </a:endParaRPr>
        </a:p>
      </xdr:txBody>
    </xdr:sp>
    <xdr:clientData fLocksWithSheet="0"/>
  </xdr:twoCellAnchor>
  <xdr:twoCellAnchor>
    <xdr:from>
      <xdr:col>10</xdr:col>
      <xdr:colOff>320862</xdr:colOff>
      <xdr:row>26</xdr:row>
      <xdr:rowOff>70473</xdr:rowOff>
    </xdr:from>
    <xdr:to>
      <xdr:col>15</xdr:col>
      <xdr:colOff>516471</xdr:colOff>
      <xdr:row>40</xdr:row>
      <xdr:rowOff>169555</xdr:rowOff>
    </xdr:to>
    <xdr:pic>
      <xdr:nvPicPr>
        <xdr:cNvPr id="8" name="Picture 7" descr="Elevator pit and matt footing at new entrance&#10;">
          <a:extLst>
            <a:ext uri="{FF2B5EF4-FFF2-40B4-BE49-F238E27FC236}">
              <a16:creationId xmlns:a16="http://schemas.microsoft.com/office/drawing/2014/main" id="{E6AD3533-1EA2-4C75-9CA4-9DAEE2DCEB54}"/>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07726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xdr:colOff>
      <xdr:row>41</xdr:row>
      <xdr:rowOff>82549</xdr:rowOff>
    </xdr:from>
    <xdr:to>
      <xdr:col>16</xdr:col>
      <xdr:colOff>95251</xdr:colOff>
      <xdr:row>43</xdr:row>
      <xdr:rowOff>9524</xdr:rowOff>
    </xdr:to>
    <xdr:sp macro="" textlink="" fLocksText="0">
      <xdr:nvSpPr>
        <xdr:cNvPr id="9" name="TextBox 8" descr="Elevator pit and matt footing at new entrance&#10;">
          <a:extLst>
            <a:ext uri="{FF2B5EF4-FFF2-40B4-BE49-F238E27FC236}">
              <a16:creationId xmlns:a16="http://schemas.microsoft.com/office/drawing/2014/main" id="{449351C9-1E89-4804-8E73-CBE9A6FBA0CA}"/>
            </a:ext>
          </a:extLst>
        </xdr:cNvPr>
        <xdr:cNvSpPr txBox="1"/>
      </xdr:nvSpPr>
      <xdr:spPr>
        <a:xfrm>
          <a:off x="6267451" y="7454899"/>
          <a:ext cx="3981450" cy="2889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Elevator pit and matt footing at new entrance</a:t>
          </a:r>
        </a:p>
        <a:p>
          <a:pPr algn="ctr"/>
          <a:endParaRPr lang="en-US" sz="1100" b="1">
            <a:solidFill>
              <a:schemeClr val="bg1"/>
            </a:solidFill>
          </a:endParaRPr>
        </a:p>
      </xdr:txBody>
    </xdr:sp>
    <xdr:clientData fLocksWithSheet="0"/>
  </xdr:twoCellAnchor>
  <xdr:twoCellAnchor>
    <xdr:from>
      <xdr:col>2</xdr:col>
      <xdr:colOff>429136</xdr:colOff>
      <xdr:row>47</xdr:row>
      <xdr:rowOff>70473</xdr:rowOff>
    </xdr:from>
    <xdr:to>
      <xdr:col>5</xdr:col>
      <xdr:colOff>408197</xdr:colOff>
      <xdr:row>61</xdr:row>
      <xdr:rowOff>169555</xdr:rowOff>
    </xdr:to>
    <xdr:pic>
      <xdr:nvPicPr>
        <xdr:cNvPr id="10" name="Picture 9" descr="Exterior New Entry Approach&#10;">
          <a:extLst>
            <a:ext uri="{FF2B5EF4-FFF2-40B4-BE49-F238E27FC236}">
              <a16:creationId xmlns:a16="http://schemas.microsoft.com/office/drawing/2014/main" id="{5D7C5302-F0BD-4FE1-91C8-E43159B93C1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26136"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95251</xdr:colOff>
      <xdr:row>62</xdr:row>
      <xdr:rowOff>28574</xdr:rowOff>
    </xdr:from>
    <xdr:to>
      <xdr:col>6</xdr:col>
      <xdr:colOff>76201</xdr:colOff>
      <xdr:row>64</xdr:row>
      <xdr:rowOff>3174</xdr:rowOff>
    </xdr:to>
    <xdr:sp macro="" textlink="" fLocksText="0">
      <xdr:nvSpPr>
        <xdr:cNvPr id="11" name="TextBox 10" descr="Exterior New Entry Approach&#10;">
          <a:extLst>
            <a:ext uri="{FF2B5EF4-FFF2-40B4-BE49-F238E27FC236}">
              <a16:creationId xmlns:a16="http://schemas.microsoft.com/office/drawing/2014/main" id="{0A7D4486-D234-49D3-A910-81ADA24AA47D}"/>
            </a:ext>
          </a:extLst>
        </xdr:cNvPr>
        <xdr:cNvSpPr txBox="1"/>
      </xdr:nvSpPr>
      <xdr:spPr>
        <a:xfrm>
          <a:off x="1390651" y="11201399"/>
          <a:ext cx="2571750" cy="3365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New Entry Approach</a:t>
          </a:r>
        </a:p>
        <a:p>
          <a:pPr algn="ctr"/>
          <a:endParaRPr lang="en-US" sz="1100" b="1">
            <a:solidFill>
              <a:schemeClr val="bg1"/>
            </a:solidFill>
          </a:endParaRPr>
        </a:p>
      </xdr:txBody>
    </xdr:sp>
    <xdr:clientData fLocksWithSheet="0"/>
  </xdr:twoCellAnchor>
  <xdr:twoCellAnchor>
    <xdr:from>
      <xdr:col>11</xdr:col>
      <xdr:colOff>429136</xdr:colOff>
      <xdr:row>47</xdr:row>
      <xdr:rowOff>70473</xdr:rowOff>
    </xdr:from>
    <xdr:to>
      <xdr:col>14</xdr:col>
      <xdr:colOff>408197</xdr:colOff>
      <xdr:row>61</xdr:row>
      <xdr:rowOff>169555</xdr:rowOff>
    </xdr:to>
    <xdr:pic>
      <xdr:nvPicPr>
        <xdr:cNvPr id="12" name="Picture 11" descr="Outdoor Learning Environment from Level 3&#10;">
          <a:extLst>
            <a:ext uri="{FF2B5EF4-FFF2-40B4-BE49-F238E27FC236}">
              <a16:creationId xmlns:a16="http://schemas.microsoft.com/office/drawing/2014/main" id="{80A0A5F3-81C1-4C7F-8870-0D1CD86BA79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7538276" y="92935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19050</xdr:colOff>
      <xdr:row>62</xdr:row>
      <xdr:rowOff>47625</xdr:rowOff>
    </xdr:from>
    <xdr:to>
      <xdr:col>15</xdr:col>
      <xdr:colOff>177800</xdr:colOff>
      <xdr:row>64</xdr:row>
      <xdr:rowOff>69849</xdr:rowOff>
    </xdr:to>
    <xdr:sp macro="" textlink="" fLocksText="0">
      <xdr:nvSpPr>
        <xdr:cNvPr id="13" name="TextBox 12" descr="Outdoor Learning Environment from Level 3&#10;">
          <a:extLst>
            <a:ext uri="{FF2B5EF4-FFF2-40B4-BE49-F238E27FC236}">
              <a16:creationId xmlns:a16="http://schemas.microsoft.com/office/drawing/2014/main" id="{5423739F-D054-4852-B183-9C5E5E0A2AA5}"/>
            </a:ext>
          </a:extLst>
        </xdr:cNvPr>
        <xdr:cNvSpPr txBox="1"/>
      </xdr:nvSpPr>
      <xdr:spPr>
        <a:xfrm>
          <a:off x="6934200" y="11220450"/>
          <a:ext cx="2749550" cy="3841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Outdoor Learning Environment from Level 3</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617664</xdr:colOff>
      <xdr:row>6</xdr:row>
      <xdr:rowOff>131343</xdr:rowOff>
    </xdr:from>
    <xdr:to>
      <xdr:col>5</xdr:col>
      <xdr:colOff>219670</xdr:colOff>
      <xdr:row>18</xdr:row>
      <xdr:rowOff>108685</xdr:rowOff>
    </xdr:to>
    <xdr:pic>
      <xdr:nvPicPr>
        <xdr:cNvPr id="2" name="Picture 1" descr="Level 1 ECE Lab School Classroom&#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14664" y="1198143"/>
          <a:ext cx="1697506"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285750</xdr:colOff>
      <xdr:row>19</xdr:row>
      <xdr:rowOff>76199</xdr:rowOff>
    </xdr:from>
    <xdr:to>
      <xdr:col>5</xdr:col>
      <xdr:colOff>533400</xdr:colOff>
      <xdr:row>21</xdr:row>
      <xdr:rowOff>9524</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1562100" y="3467099"/>
          <a:ext cx="2162175" cy="2952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1 ECE Lab School Classroom</a:t>
          </a:r>
        </a:p>
        <a:p>
          <a:pPr algn="ctr"/>
          <a:endParaRPr lang="en-US" sz="1100" b="1">
            <a:solidFill>
              <a:schemeClr val="bg1"/>
            </a:solidFill>
          </a:endParaRPr>
        </a:p>
      </xdr:txBody>
    </xdr:sp>
    <xdr:clientData fLocksWithSheet="0"/>
  </xdr:twoCellAnchor>
  <xdr:twoCellAnchor>
    <xdr:from>
      <xdr:col>10</xdr:col>
      <xdr:colOff>58708</xdr:colOff>
      <xdr:row>7</xdr:row>
      <xdr:rowOff>140868</xdr:rowOff>
    </xdr:from>
    <xdr:to>
      <xdr:col>12</xdr:col>
      <xdr:colOff>311900</xdr:colOff>
      <xdr:row>19</xdr:row>
      <xdr:rowOff>115035</xdr:rowOff>
    </xdr:to>
    <xdr:pic>
      <xdr:nvPicPr>
        <xdr:cNvPr id="17" name="Picture 16" descr="Level 3 CWU Reception Area&#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30908" y="1360068"/>
          <a:ext cx="1529542" cy="214586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13</xdr:col>
      <xdr:colOff>57150</xdr:colOff>
      <xdr:row>21</xdr:row>
      <xdr:rowOff>114300</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5934075" y="3648075"/>
          <a:ext cx="2209800" cy="2190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CWU</a:t>
          </a:r>
          <a:r>
            <a:rPr lang="en-US" sz="1100" b="1" baseline="0">
              <a:solidFill>
                <a:schemeClr val="bg1"/>
              </a:solidFill>
            </a:rPr>
            <a:t> Reception Area</a:t>
          </a:r>
          <a:endParaRPr lang="en-US" sz="1100" b="1">
            <a:solidFill>
              <a:schemeClr val="bg1"/>
            </a:solidFill>
          </a:endParaRPr>
        </a:p>
      </xdr:txBody>
    </xdr:sp>
    <xdr:clientData fLocksWithSheet="0"/>
  </xdr:twoCellAnchor>
  <xdr:twoCellAnchor>
    <xdr:from>
      <xdr:col>2</xdr:col>
      <xdr:colOff>624831</xdr:colOff>
      <xdr:row>27</xdr:row>
      <xdr:rowOff>131343</xdr:rowOff>
    </xdr:from>
    <xdr:to>
      <xdr:col>5</xdr:col>
      <xdr:colOff>212502</xdr:colOff>
      <xdr:row>39</xdr:row>
      <xdr:rowOff>108685</xdr:rowOff>
    </xdr:to>
    <xdr:pic>
      <xdr:nvPicPr>
        <xdr:cNvPr id="19" name="Picture 18" descr="Level 2 Gallery&#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21831" y="5198643"/>
          <a:ext cx="1683171" cy="226334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273050</xdr:colOff>
      <xdr:row>40</xdr:row>
      <xdr:rowOff>101599</xdr:rowOff>
    </xdr:from>
    <xdr:to>
      <xdr:col>5</xdr:col>
      <xdr:colOff>457200</xdr:colOff>
      <xdr:row>41</xdr:row>
      <xdr:rowOff>152399</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1549400" y="7292974"/>
          <a:ext cx="2098675"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Gallery</a:t>
          </a:r>
          <a:endParaRPr lang="en-US" sz="1100" b="1">
            <a:solidFill>
              <a:schemeClr val="bg1"/>
            </a:solidFill>
          </a:endParaRPr>
        </a:p>
      </xdr:txBody>
    </xdr:sp>
    <xdr:clientData fLocksWithSheet="0"/>
  </xdr:twoCellAnchor>
  <xdr:twoCellAnchor>
    <xdr:from>
      <xdr:col>10</xdr:col>
      <xdr:colOff>135051</xdr:colOff>
      <xdr:row>27</xdr:row>
      <xdr:rowOff>93</xdr:rowOff>
    </xdr:from>
    <xdr:to>
      <xdr:col>12</xdr:col>
      <xdr:colOff>597507</xdr:colOff>
      <xdr:row>40</xdr:row>
      <xdr:rowOff>65310</xdr:rowOff>
    </xdr:to>
    <xdr:pic>
      <xdr:nvPicPr>
        <xdr:cNvPr id="21" name="Picture 20" descr="Level 2 Music &amp; Multipurpose Room&#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5967708" y="5178336"/>
          <a:ext cx="2417892" cy="173880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438150</xdr:colOff>
      <xdr:row>40</xdr:row>
      <xdr:rowOff>161925</xdr:rowOff>
    </xdr:from>
    <xdr:to>
      <xdr:col>13</xdr:col>
      <xdr:colOff>292100</xdr:colOff>
      <xdr:row>42</xdr:row>
      <xdr:rowOff>63500</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972175" y="7353300"/>
          <a:ext cx="2406650" cy="2635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Level 2 Music &amp; Multipurpose Room</a:t>
          </a:r>
          <a:endParaRPr lang="en-US" sz="1100" b="1">
            <a:solidFill>
              <a:schemeClr val="bg1"/>
            </a:solidFill>
          </a:endParaRPr>
        </a:p>
      </xdr:txBody>
    </xdr:sp>
    <xdr:clientData fLocksWithSheet="0"/>
  </xdr:twoCellAnchor>
  <xdr:twoCellAnchor>
    <xdr:from>
      <xdr:col>2</xdr:col>
      <xdr:colOff>508254</xdr:colOff>
      <xdr:row>47</xdr:row>
      <xdr:rowOff>175964</xdr:rowOff>
    </xdr:from>
    <xdr:to>
      <xdr:col>5</xdr:col>
      <xdr:colOff>329079</xdr:colOff>
      <xdr:row>61</xdr:row>
      <xdr:rowOff>64064</xdr:rowOff>
    </xdr:to>
    <xdr:pic>
      <xdr:nvPicPr>
        <xdr:cNvPr id="23" name="Picture 22" descr="Level 1 Doors out to Outdoor Learning Area&#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1585867" y="9372651"/>
          <a:ext cx="2555100" cy="19163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428625</xdr:colOff>
      <xdr:row>60</xdr:row>
      <xdr:rowOff>104775</xdr:rowOff>
    </xdr:from>
    <xdr:to>
      <xdr:col>5</xdr:col>
      <xdr:colOff>523875</xdr:colOff>
      <xdr:row>63</xdr:row>
      <xdr:rowOff>149225</xdr:rowOff>
    </xdr:to>
    <xdr:sp macro="" textlink="" fLocksText="0">
      <xdr:nvSpPr>
        <xdr:cNvPr id="24" name="TextBox 23" descr="Level 1 Doors out to Outdoor Learning Area&#10;">
          <a:extLst>
            <a:ext uri="{FF2B5EF4-FFF2-40B4-BE49-F238E27FC236}">
              <a16:creationId xmlns:a16="http://schemas.microsoft.com/office/drawing/2014/main" id="{00000000-0008-0000-0200-000018000000}"/>
            </a:ext>
          </a:extLst>
        </xdr:cNvPr>
        <xdr:cNvSpPr txBox="1"/>
      </xdr:nvSpPr>
      <xdr:spPr>
        <a:xfrm>
          <a:off x="1704975" y="10915650"/>
          <a:ext cx="2009775" cy="5873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a:t>
          </a:r>
          <a:r>
            <a:rPr lang="en-US" sz="1100" b="1" baseline="0">
              <a:solidFill>
                <a:schemeClr val="bg1"/>
              </a:solidFill>
            </a:rPr>
            <a:t> 1 Doors out to Outdoor Learning Area</a:t>
          </a:r>
          <a:endParaRPr lang="en-US" sz="1100" b="1">
            <a:solidFill>
              <a:schemeClr val="bg1"/>
            </a:solidFill>
          </a:endParaRPr>
        </a:p>
      </xdr:txBody>
    </xdr:sp>
    <xdr:clientData fLocksWithSheet="0"/>
  </xdr:twoCellAnchor>
  <xdr:twoCellAnchor>
    <xdr:from>
      <xdr:col>10</xdr:col>
      <xdr:colOff>41026</xdr:colOff>
      <xdr:row>48</xdr:row>
      <xdr:rowOff>77926</xdr:rowOff>
    </xdr:from>
    <xdr:to>
      <xdr:col>12</xdr:col>
      <xdr:colOff>459758</xdr:colOff>
      <xdr:row>61</xdr:row>
      <xdr:rowOff>101777</xdr:rowOff>
    </xdr:to>
    <xdr:pic>
      <xdr:nvPicPr>
        <xdr:cNvPr id="25" name="Picture 24" descr="Level 3 Offices&#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213226" y="8717101"/>
          <a:ext cx="1695082" cy="23765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76201</xdr:rowOff>
    </xdr:from>
    <xdr:to>
      <xdr:col>12</xdr:col>
      <xdr:colOff>581025</xdr:colOff>
      <xdr:row>63</xdr:row>
      <xdr:rowOff>85726</xdr:rowOff>
    </xdr:to>
    <xdr:sp macro="" textlink="" fLocksText="0">
      <xdr:nvSpPr>
        <xdr:cNvPr id="26" name="TextBox 25" descr="Level 3 Offices&#10;">
          <a:extLst>
            <a:ext uri="{FF2B5EF4-FFF2-40B4-BE49-F238E27FC236}">
              <a16:creationId xmlns:a16="http://schemas.microsoft.com/office/drawing/2014/main" id="{00000000-0008-0000-0200-00001A000000}"/>
            </a:ext>
          </a:extLst>
        </xdr:cNvPr>
        <xdr:cNvSpPr txBox="1"/>
      </xdr:nvSpPr>
      <xdr:spPr>
        <a:xfrm>
          <a:off x="5934075" y="11249026"/>
          <a:ext cx="2095500" cy="1905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a:t>
          </a:r>
          <a:r>
            <a:rPr lang="en-US" sz="1100" b="1" baseline="0">
              <a:solidFill>
                <a:schemeClr val="bg1"/>
              </a:solidFill>
            </a:rPr>
            <a:t> 3 Offices</a:t>
          </a:r>
          <a:endParaRPr lang="en-US" sz="1100" b="1">
            <a:solidFill>
              <a:schemeClr val="bg1"/>
            </a:solidFill>
          </a:endParaRPr>
        </a:p>
      </xdr:txBody>
    </xdr:sp>
    <xdr:clientData fLocksWithSheet="0"/>
  </xdr:twoCellAnchor>
  <xdr:twoCellAnchor>
    <xdr:from>
      <xdr:col>0</xdr:col>
      <xdr:colOff>600075</xdr:colOff>
      <xdr:row>68</xdr:row>
      <xdr:rowOff>184473</xdr:rowOff>
    </xdr:from>
    <xdr:to>
      <xdr:col>7</xdr:col>
      <xdr:colOff>237259</xdr:colOff>
      <xdr:row>82</xdr:row>
      <xdr:rowOff>55555</xdr:rowOff>
    </xdr:to>
    <xdr:pic>
      <xdr:nvPicPr>
        <xdr:cNvPr id="27" name="Picture 26" descr="Design Rendering Exterior from east&#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600075" y="13062273"/>
          <a:ext cx="4526684" cy="2538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descr="Design Rendering Exterior from east&#10;">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Design Rendering Exterior from east</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516-pierce-fs-olympic-s-asbestos-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uriale@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3" t="s">
        <v>177</v>
      </c>
      <c r="C1" s="133"/>
      <c r="D1" s="133"/>
      <c r="E1" s="133"/>
      <c r="F1" s="133"/>
      <c r="G1" s="133"/>
      <c r="H1" s="133"/>
      <c r="I1" s="133"/>
      <c r="J1" s="133"/>
      <c r="K1" s="133"/>
      <c r="L1" s="55"/>
    </row>
    <row r="2" spans="1:12" ht="21.75" thickBot="1" x14ac:dyDescent="0.4">
      <c r="A2" s="91"/>
      <c r="B2" s="134" t="s">
        <v>178</v>
      </c>
      <c r="C2" s="134"/>
      <c r="D2" s="134"/>
      <c r="E2" s="134"/>
      <c r="F2" s="134"/>
      <c r="G2" s="134"/>
      <c r="H2" s="134"/>
      <c r="I2" s="134"/>
      <c r="J2" s="134"/>
      <c r="K2" s="134"/>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5" t="s">
        <v>181</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180</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183</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179</v>
      </c>
      <c r="C23" s="13"/>
      <c r="D23" s="13"/>
      <c r="E23" s="13"/>
      <c r="F23" s="13"/>
      <c r="G23" s="13"/>
      <c r="H23" s="13"/>
      <c r="I23" s="13"/>
      <c r="J23" s="13"/>
      <c r="K23" s="14"/>
    </row>
    <row r="24" spans="2:11" x14ac:dyDescent="0.25">
      <c r="B24" s="135" t="s">
        <v>194</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184</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1" t="s">
        <v>187</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190</v>
      </c>
      <c r="C37" s="131" t="s">
        <v>198</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199</v>
      </c>
      <c r="C40" s="131" t="s">
        <v>200</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201</v>
      </c>
      <c r="C43" s="131" t="s">
        <v>202</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203</v>
      </c>
      <c r="C45" s="131" t="s">
        <v>205</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8"/>
  <sheetViews>
    <sheetView showGridLines="0" tabSelected="1" topLeftCell="A47" zoomScaleNormal="100" workbookViewId="0">
      <selection activeCell="B64" sqref="B64"/>
    </sheetView>
  </sheetViews>
  <sheetFormatPr defaultColWidth="9.140625" defaultRowHeight="15" x14ac:dyDescent="0.25"/>
  <cols>
    <col min="1" max="1" width="1.42578125" customWidth="1"/>
    <col min="2" max="2" width="35.42578125" customWidth="1"/>
    <col min="3" max="7" width="14.42578125" customWidth="1"/>
    <col min="8" max="8" width="19.7109375" customWidth="1"/>
    <col min="9" max="9" width="14.42578125" customWidth="1"/>
    <col min="10" max="10" width="1.42578125" customWidth="1"/>
  </cols>
  <sheetData>
    <row r="1" spans="1:13" ht="21.75" thickTop="1" x14ac:dyDescent="0.35">
      <c r="A1" s="54"/>
      <c r="B1" s="187" t="s">
        <v>57</v>
      </c>
      <c r="C1" s="187"/>
      <c r="D1" s="187"/>
      <c r="E1" s="187"/>
      <c r="F1" s="187"/>
      <c r="G1" s="187"/>
      <c r="H1" s="187"/>
      <c r="I1" s="187"/>
      <c r="J1" s="55"/>
    </row>
    <row r="2" spans="1:13" x14ac:dyDescent="0.25">
      <c r="A2" s="56"/>
      <c r="B2" s="129"/>
      <c r="C2" s="129"/>
      <c r="D2" s="129"/>
      <c r="E2" s="129" t="s">
        <v>207</v>
      </c>
      <c r="F2" s="129"/>
      <c r="G2" s="129"/>
      <c r="H2" s="129"/>
      <c r="I2" s="129"/>
      <c r="J2" s="57"/>
    </row>
    <row r="3" spans="1:13" ht="17.100000000000001" customHeight="1" x14ac:dyDescent="0.35">
      <c r="A3" s="56"/>
      <c r="B3" s="188" t="s">
        <v>170</v>
      </c>
      <c r="C3" s="188"/>
      <c r="D3" s="188"/>
      <c r="E3" s="188"/>
      <c r="F3" s="188"/>
      <c r="G3" s="188"/>
      <c r="H3" s="188"/>
      <c r="I3" s="188"/>
      <c r="J3" s="57"/>
    </row>
    <row r="4" spans="1:13" ht="17.100000000000001" customHeight="1" x14ac:dyDescent="0.35">
      <c r="A4" s="58"/>
      <c r="B4" s="193" t="s">
        <v>227</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211</v>
      </c>
      <c r="D6" s="191"/>
      <c r="E6" s="191"/>
      <c r="F6" s="191"/>
      <c r="G6" s="191"/>
      <c r="H6" s="192"/>
      <c r="J6" s="61"/>
    </row>
    <row r="7" spans="1:13" s="1" customFormat="1" ht="15.75" thickBot="1" x14ac:dyDescent="0.3">
      <c r="A7" s="62"/>
      <c r="B7" s="63" t="s">
        <v>143</v>
      </c>
      <c r="C7" s="189">
        <v>40000516</v>
      </c>
      <c r="D7" s="189"/>
      <c r="E7" s="189"/>
      <c r="F7" s="189"/>
      <c r="G7" s="189"/>
      <c r="H7" s="189"/>
      <c r="I7" s="64"/>
      <c r="J7" s="65"/>
    </row>
    <row r="8" spans="1:13" s="1" customFormat="1" ht="3.95"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228</v>
      </c>
      <c r="D10" s="172"/>
      <c r="E10" s="172"/>
      <c r="F10" s="172"/>
      <c r="G10" s="172"/>
      <c r="H10" s="172"/>
      <c r="I10" s="66"/>
      <c r="J10" s="61"/>
    </row>
    <row r="11" spans="1:13" s="1" customFormat="1" x14ac:dyDescent="0.25">
      <c r="A11" s="60"/>
      <c r="B11" s="15" t="s">
        <v>63</v>
      </c>
      <c r="C11" s="173" t="s">
        <v>229</v>
      </c>
      <c r="D11" s="173"/>
      <c r="E11" s="173"/>
      <c r="F11" s="173"/>
      <c r="G11" s="173"/>
      <c r="H11" s="173"/>
      <c r="I11" s="66"/>
      <c r="J11" s="61"/>
    </row>
    <row r="12" spans="1:13" s="1" customFormat="1" x14ac:dyDescent="0.25">
      <c r="A12" s="60"/>
      <c r="B12" s="18" t="s">
        <v>64</v>
      </c>
      <c r="C12" s="174" t="s">
        <v>230</v>
      </c>
      <c r="D12" s="174"/>
      <c r="E12" s="174"/>
      <c r="F12" s="174"/>
      <c r="G12" s="174"/>
      <c r="H12" s="174"/>
      <c r="I12" s="67"/>
      <c r="J12" s="61"/>
    </row>
    <row r="13" spans="1:13" ht="3.95" customHeight="1" thickBot="1" x14ac:dyDescent="0.3">
      <c r="A13" s="56"/>
      <c r="D13" s="68"/>
      <c r="J13" s="57"/>
      <c r="M13" s="1"/>
    </row>
    <row r="14" spans="1:13" s="69" customFormat="1" ht="21"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212</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ht="32.1" customHeight="1" x14ac:dyDescent="0.25">
      <c r="A19" s="56"/>
      <c r="B19" s="186"/>
      <c r="C19" s="183"/>
      <c r="D19" s="184"/>
      <c r="E19" s="184"/>
      <c r="F19" s="184"/>
      <c r="G19" s="184"/>
      <c r="H19" s="184"/>
      <c r="I19" s="185"/>
      <c r="J19" s="57"/>
      <c r="M19" s="1"/>
    </row>
    <row r="20" spans="1:13" ht="3.95" customHeight="1" x14ac:dyDescent="0.25">
      <c r="A20" s="56"/>
      <c r="B20" s="71"/>
      <c r="C20" s="72"/>
      <c r="D20" s="72"/>
      <c r="E20" s="72"/>
      <c r="F20" s="72"/>
      <c r="G20" s="72"/>
      <c r="H20" s="72"/>
      <c r="I20" s="112"/>
      <c r="J20" s="57"/>
      <c r="M20" s="1"/>
    </row>
    <row r="21" spans="1:13" x14ac:dyDescent="0.25">
      <c r="A21" s="56"/>
      <c r="B21" s="40" t="s">
        <v>65</v>
      </c>
      <c r="C21" s="177" t="s">
        <v>231</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x14ac:dyDescent="0.25">
      <c r="A26" s="56"/>
      <c r="B26" s="175"/>
      <c r="C26" s="180"/>
      <c r="D26" s="181"/>
      <c r="E26" s="181"/>
      <c r="F26" s="181"/>
      <c r="G26" s="181"/>
      <c r="H26" s="181"/>
      <c r="I26" s="182"/>
      <c r="J26" s="57"/>
      <c r="M26" s="1"/>
    </row>
    <row r="27" spans="1:13" ht="38.25" customHeight="1" x14ac:dyDescent="0.25">
      <c r="A27" s="56"/>
      <c r="B27" s="176"/>
      <c r="C27" s="183"/>
      <c r="D27" s="184"/>
      <c r="E27" s="184"/>
      <c r="F27" s="184"/>
      <c r="G27" s="184"/>
      <c r="H27" s="184"/>
      <c r="I27" s="185"/>
      <c r="J27" s="57"/>
      <c r="M27" s="1"/>
    </row>
    <row r="28" spans="1:13" ht="6"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175</v>
      </c>
      <c r="D30" s="158"/>
      <c r="E30" s="158"/>
      <c r="F30" s="158"/>
      <c r="G30" s="158"/>
      <c r="H30" s="159"/>
      <c r="I30" s="160"/>
      <c r="J30" s="57"/>
      <c r="M30" s="1"/>
    </row>
    <row r="31" spans="1:13" ht="15" customHeight="1" x14ac:dyDescent="0.25">
      <c r="A31" s="56"/>
      <c r="B31" s="73"/>
      <c r="C31" s="157" t="s">
        <v>158</v>
      </c>
      <c r="D31" s="160"/>
      <c r="E31" s="157" t="s">
        <v>159</v>
      </c>
      <c r="F31" s="158"/>
      <c r="G31" s="158"/>
      <c r="H31" s="161" t="s">
        <v>1</v>
      </c>
      <c r="I31" s="163" t="s">
        <v>67</v>
      </c>
      <c r="J31" s="57"/>
      <c r="M31" s="1"/>
    </row>
    <row r="32" spans="1:13" s="1" customFormat="1" ht="30" x14ac:dyDescent="0.25">
      <c r="A32" s="60"/>
      <c r="B32" s="10" t="s">
        <v>156</v>
      </c>
      <c r="C32" s="74" t="s">
        <v>161</v>
      </c>
      <c r="D32" s="4" t="s">
        <v>208</v>
      </c>
      <c r="E32" s="4" t="s">
        <v>209</v>
      </c>
      <c r="F32" s="4" t="s">
        <v>210</v>
      </c>
      <c r="G32" s="5" t="s">
        <v>160</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224</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0</v>
      </c>
      <c r="D38" s="48">
        <f>SUM(D39:D42)</f>
        <v>0</v>
      </c>
      <c r="E38" s="48">
        <f>SUM(E39:E42)</f>
        <v>0</v>
      </c>
      <c r="F38" s="48">
        <f>SUM(F39:F42)</f>
        <v>0</v>
      </c>
      <c r="G38" s="49">
        <f>SUM(G39:G42)</f>
        <v>0</v>
      </c>
      <c r="H38" s="50">
        <f>SUM(C38:G38)</f>
        <v>0</v>
      </c>
      <c r="I38" s="7"/>
      <c r="J38" s="57"/>
      <c r="M38" s="1"/>
    </row>
    <row r="39" spans="1:13" x14ac:dyDescent="0.25">
      <c r="A39" s="56"/>
      <c r="B39" s="8" t="s">
        <v>224</v>
      </c>
      <c r="C39" s="75"/>
      <c r="D39" s="76"/>
      <c r="E39" s="76"/>
      <c r="F39" s="76"/>
      <c r="G39" s="77"/>
      <c r="H39" s="9">
        <f>SUM(C39:G39)</f>
        <v>0</v>
      </c>
      <c r="I39" s="78"/>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SUM(C44:C49)</f>
        <v>8615031</v>
      </c>
      <c r="D43" s="48">
        <f>SUM(D44:D49)</f>
        <v>16205752.07</v>
      </c>
      <c r="E43" s="48">
        <f>SUM(E44:E49)</f>
        <v>1363334.9299999997</v>
      </c>
      <c r="F43" s="48">
        <f>SUM(F44:F49)</f>
        <v>0</v>
      </c>
      <c r="G43" s="49">
        <f>SUM(G44:G49)</f>
        <v>0</v>
      </c>
      <c r="H43" s="50">
        <f>SUM(C43:G43)</f>
        <v>26184118</v>
      </c>
      <c r="I43" s="7"/>
      <c r="J43" s="57"/>
      <c r="M43" s="1"/>
    </row>
    <row r="44" spans="1:13" x14ac:dyDescent="0.25">
      <c r="A44" s="56"/>
      <c r="B44" s="8" t="s">
        <v>224</v>
      </c>
      <c r="C44" s="75">
        <v>4197200</v>
      </c>
      <c r="D44" s="76">
        <v>7643025.1500000004</v>
      </c>
      <c r="E44" s="76">
        <f>13159000-C44-D44</f>
        <v>1318774.8499999996</v>
      </c>
      <c r="F44" s="76"/>
      <c r="G44" s="77"/>
      <c r="H44" s="9">
        <f>SUM(C44:G44)</f>
        <v>13159000</v>
      </c>
      <c r="I44" s="78" t="s">
        <v>222</v>
      </c>
      <c r="J44" s="57"/>
      <c r="M44" s="1"/>
    </row>
    <row r="45" spans="1:13" x14ac:dyDescent="0.25">
      <c r="A45" s="56"/>
      <c r="B45" s="125" t="s">
        <v>213</v>
      </c>
      <c r="C45" s="75">
        <v>1000000</v>
      </c>
      <c r="D45" s="76"/>
      <c r="E45" s="76"/>
      <c r="F45" s="76"/>
      <c r="G45" s="77"/>
      <c r="H45" s="9">
        <f>SUM(C45:G45)</f>
        <v>1000000</v>
      </c>
      <c r="I45" s="78" t="s">
        <v>217</v>
      </c>
      <c r="J45" s="57"/>
      <c r="M45" s="1"/>
    </row>
    <row r="46" spans="1:13" x14ac:dyDescent="0.25">
      <c r="A46" s="56"/>
      <c r="B46" s="125" t="s">
        <v>214</v>
      </c>
      <c r="C46" s="75">
        <v>2355713</v>
      </c>
      <c r="D46" s="76">
        <v>8562726.9199999999</v>
      </c>
      <c r="E46" s="76">
        <f>2500000+2963000+5500000-C46-D46</f>
        <v>44560.080000000075</v>
      </c>
      <c r="F46" s="76"/>
      <c r="G46" s="77"/>
      <c r="H46" s="9">
        <f t="shared" ref="H46:H49" si="2">SUM(C46:G46)</f>
        <v>10963000</v>
      </c>
      <c r="I46" s="78" t="s">
        <v>218</v>
      </c>
      <c r="J46" s="57"/>
      <c r="M46" s="1"/>
    </row>
    <row r="47" spans="1:13" x14ac:dyDescent="0.25">
      <c r="A47" s="56"/>
      <c r="B47" s="125" t="s">
        <v>215</v>
      </c>
      <c r="C47" s="75">
        <v>639527</v>
      </c>
      <c r="D47" s="76"/>
      <c r="E47" s="76"/>
      <c r="F47" s="76"/>
      <c r="G47" s="77"/>
      <c r="H47" s="9">
        <f t="shared" si="2"/>
        <v>639527</v>
      </c>
      <c r="I47" s="78" t="s">
        <v>219</v>
      </c>
      <c r="J47" s="57"/>
      <c r="M47" s="1"/>
    </row>
    <row r="48" spans="1:13" x14ac:dyDescent="0.25">
      <c r="A48" s="56"/>
      <c r="B48" s="125" t="s">
        <v>216</v>
      </c>
      <c r="C48" s="75">
        <v>422591</v>
      </c>
      <c r="D48" s="76"/>
      <c r="E48" s="76"/>
      <c r="F48" s="76"/>
      <c r="G48" s="77"/>
      <c r="H48" s="9">
        <f t="shared" si="2"/>
        <v>422591</v>
      </c>
      <c r="I48" s="78" t="s">
        <v>220</v>
      </c>
      <c r="J48" s="57"/>
      <c r="M48" s="1"/>
    </row>
    <row r="49" spans="1:13" x14ac:dyDescent="0.25">
      <c r="A49" s="56"/>
      <c r="B49" s="124" t="s">
        <v>174</v>
      </c>
      <c r="C49" s="75"/>
      <c r="D49" s="76"/>
      <c r="E49" s="76"/>
      <c r="F49" s="76"/>
      <c r="G49" s="77"/>
      <c r="H49" s="9">
        <f t="shared" si="2"/>
        <v>0</v>
      </c>
      <c r="I49" s="78"/>
      <c r="J49" s="57"/>
      <c r="M49" s="1"/>
    </row>
    <row r="50" spans="1:13" s="1" customFormat="1" ht="15.75" thickBot="1" x14ac:dyDescent="0.3">
      <c r="A50" s="60"/>
      <c r="B50" s="10" t="s">
        <v>157</v>
      </c>
      <c r="C50" s="51">
        <f>C33+C38+C43</f>
        <v>8615031</v>
      </c>
      <c r="D50" s="51">
        <f>D33+D38+D43</f>
        <v>16205752.07</v>
      </c>
      <c r="E50" s="51">
        <f>E33+E38+E43</f>
        <v>1363334.9299999997</v>
      </c>
      <c r="F50" s="51">
        <f>F33+F38+F43</f>
        <v>0</v>
      </c>
      <c r="G50" s="52">
        <f>G33+G38+G43</f>
        <v>0</v>
      </c>
      <c r="H50" s="53">
        <f>SUM(C50:G50)</f>
        <v>26184118</v>
      </c>
      <c r="I50" s="7"/>
      <c r="J50" s="61"/>
    </row>
    <row r="51" spans="1:13" s="1" customFormat="1" ht="5.45" customHeight="1" x14ac:dyDescent="0.25">
      <c r="A51" s="60"/>
      <c r="C51" s="79"/>
      <c r="D51" s="79"/>
      <c r="J51" s="61"/>
    </row>
    <row r="52" spans="1:13" s="1" customFormat="1" x14ac:dyDescent="0.25">
      <c r="A52" s="60"/>
      <c r="B52" s="148" t="s">
        <v>155</v>
      </c>
      <c r="C52" s="149"/>
      <c r="D52" s="149"/>
      <c r="E52" s="149"/>
      <c r="F52" s="149"/>
      <c r="G52" s="149"/>
      <c r="H52" s="149"/>
      <c r="I52" s="150"/>
      <c r="J52" s="61"/>
    </row>
    <row r="53" spans="1:13" x14ac:dyDescent="0.25">
      <c r="A53" s="56"/>
      <c r="B53" s="80" t="s">
        <v>69</v>
      </c>
      <c r="C53" s="169" t="s">
        <v>101</v>
      </c>
      <c r="D53" s="169"/>
      <c r="E53" s="168" t="s">
        <v>70</v>
      </c>
      <c r="F53" s="168"/>
      <c r="G53" s="142" t="s">
        <v>141</v>
      </c>
      <c r="H53" s="142"/>
      <c r="I53" s="16"/>
      <c r="J53" s="57"/>
      <c r="M53" s="1"/>
    </row>
    <row r="54" spans="1:13" x14ac:dyDescent="0.25">
      <c r="A54" s="56"/>
      <c r="B54" s="15" t="s">
        <v>225</v>
      </c>
      <c r="C54" s="170">
        <v>1</v>
      </c>
      <c r="D54" s="171"/>
      <c r="E54" t="s">
        <v>71</v>
      </c>
      <c r="G54" s="143" t="s">
        <v>138</v>
      </c>
      <c r="H54" s="143"/>
      <c r="I54" s="16"/>
      <c r="J54" s="57"/>
      <c r="M54" s="1"/>
    </row>
    <row r="55" spans="1:13" x14ac:dyDescent="0.25">
      <c r="A55" s="56"/>
      <c r="B55" s="18" t="s">
        <v>148</v>
      </c>
      <c r="C55" s="143" t="s">
        <v>56</v>
      </c>
      <c r="D55" s="143"/>
      <c r="E55" s="19" t="s">
        <v>72</v>
      </c>
      <c r="F55" s="19"/>
      <c r="G55" s="143" t="s">
        <v>138</v>
      </c>
      <c r="H55" s="143"/>
      <c r="I55" s="20"/>
      <c r="J55" s="57"/>
      <c r="M55" s="1"/>
    </row>
    <row r="56" spans="1:13" ht="5.45" customHeight="1" x14ac:dyDescent="0.25">
      <c r="A56" s="56"/>
      <c r="J56" s="57"/>
      <c r="M56" s="1"/>
    </row>
    <row r="57" spans="1:13" x14ac:dyDescent="0.25">
      <c r="A57" s="56"/>
      <c r="B57" s="148" t="s">
        <v>68</v>
      </c>
      <c r="C57" s="149"/>
      <c r="D57" s="149"/>
      <c r="E57" s="149"/>
      <c r="F57" s="149"/>
      <c r="G57" s="149"/>
      <c r="H57" s="149"/>
      <c r="I57" s="150"/>
      <c r="J57" s="57"/>
      <c r="M57" s="1"/>
    </row>
    <row r="58" spans="1:13" ht="54.6" customHeight="1" x14ac:dyDescent="0.25">
      <c r="A58" s="56"/>
      <c r="B58" s="144" t="s">
        <v>176</v>
      </c>
      <c r="C58" s="144"/>
      <c r="D58" s="144"/>
      <c r="E58" s="74" t="s">
        <v>191</v>
      </c>
      <c r="F58" s="74" t="s">
        <v>192</v>
      </c>
      <c r="G58" s="74" t="str">
        <f>IF(FCOR=TRUE, "Actuals at Final Completion", "Actuals to Date")</f>
        <v>Actuals to Date</v>
      </c>
      <c r="H58" s="113" t="s">
        <v>195</v>
      </c>
      <c r="I58" s="11" t="s">
        <v>67</v>
      </c>
      <c r="J58" s="57"/>
      <c r="M58" s="1"/>
    </row>
    <row r="59" spans="1:13" x14ac:dyDescent="0.25">
      <c r="A59" s="56"/>
      <c r="B59" s="12" t="s">
        <v>41</v>
      </c>
      <c r="C59" s="13"/>
      <c r="D59" s="14"/>
      <c r="E59" s="81"/>
      <c r="F59" s="81">
        <v>38800</v>
      </c>
      <c r="G59" s="82"/>
      <c r="H59" s="114">
        <f>IF($H$58=Lists!$D$8, IFERROR(F59-E59, ""), IF($H$58=Lists!$D$9, IFERROR(G59-E59, ""), IFERROR(G59-F59, "")))</f>
        <v>-38800</v>
      </c>
      <c r="I59" s="83"/>
      <c r="J59" s="57"/>
      <c r="M59" s="1"/>
    </row>
    <row r="60" spans="1:13" x14ac:dyDescent="0.25">
      <c r="A60" s="56"/>
      <c r="B60" s="15" t="s">
        <v>42</v>
      </c>
      <c r="D60" s="16"/>
      <c r="E60" s="81"/>
      <c r="F60" s="81">
        <v>24761</v>
      </c>
      <c r="G60" s="82"/>
      <c r="H60" s="114">
        <f>IF($H$58=Lists!$D$8, IFERROR(F60-E60, ""), IF($H$58=Lists!$D$9, IFERROR(G60-E60, ""), IFERROR(G60-F60, "")))</f>
        <v>-24761</v>
      </c>
      <c r="I60" s="83"/>
      <c r="J60" s="57"/>
      <c r="M60" s="1"/>
    </row>
    <row r="61" spans="1:13" x14ac:dyDescent="0.25">
      <c r="A61" s="56"/>
      <c r="B61" s="15" t="s">
        <v>43</v>
      </c>
      <c r="D61" s="16"/>
      <c r="E61" s="17" t="str">
        <f>IFERROR(E60/E59, "")</f>
        <v/>
      </c>
      <c r="F61" s="17">
        <f t="shared" ref="F61:G61" si="3">IFERROR(F60/F59, "")</f>
        <v>0.63817010309278355</v>
      </c>
      <c r="G61" s="17" t="str">
        <f t="shared" si="3"/>
        <v/>
      </c>
      <c r="H61" s="115" t="str">
        <f t="shared" ref="H61" si="4">IFERROR(G61-F61, "")</f>
        <v/>
      </c>
      <c r="I61" s="84"/>
      <c r="J61" s="57"/>
      <c r="M61" s="1"/>
    </row>
    <row r="62" spans="1:13" x14ac:dyDescent="0.25">
      <c r="A62" s="56"/>
      <c r="B62" s="15" t="s">
        <v>10</v>
      </c>
      <c r="D62" s="16"/>
      <c r="E62" s="81"/>
      <c r="F62" s="81"/>
      <c r="G62" s="82"/>
      <c r="H62" s="116">
        <f>IF($H$58=Lists!$D$8, IFERROR(F62-E62, ""), IF($H$58=Lists!$D$9, IFERROR(G62-E62, ""), IFERROR(G62-F62, "")))</f>
        <v>0</v>
      </c>
      <c r="I62" s="83"/>
      <c r="J62" s="57"/>
      <c r="M62" s="1"/>
    </row>
    <row r="63" spans="1:13" x14ac:dyDescent="0.25">
      <c r="A63" s="56"/>
      <c r="B63" s="18" t="s">
        <v>39</v>
      </c>
      <c r="C63" s="19"/>
      <c r="D63" s="20"/>
      <c r="E63" s="82"/>
      <c r="F63" s="82"/>
      <c r="G63" s="82"/>
      <c r="H63" s="116">
        <f>IF($H$58=Lists!$D$8, IFERROR(F63-E63, ""), IF($H$58=Lists!$D$9, IFERROR(G63-E63, ""), IFERROR(G63-F63, "")))</f>
        <v>0</v>
      </c>
      <c r="I63" s="85"/>
      <c r="J63" s="57"/>
      <c r="M63" s="1"/>
    </row>
    <row r="64" spans="1:13" x14ac:dyDescent="0.25">
      <c r="A64" s="56"/>
      <c r="B64" s="15" t="s">
        <v>19</v>
      </c>
      <c r="E64" s="21" t="str">
        <f>IFERROR(E93/E59, "")</f>
        <v/>
      </c>
      <c r="F64" s="21">
        <f>IFERROR(F93/F59, "")</f>
        <v>477.1513917525773</v>
      </c>
      <c r="G64" s="21" t="str">
        <f>IFERROR(G93/G59, "")</f>
        <v/>
      </c>
      <c r="H64" s="117" t="str">
        <f>IF($H$58=Lists!$D$8, IFERROR(F64-E64, ""), IF($H$58=Lists!$D$9, IFERROR(G64-E64, ""), IFERROR(G64-F64, "")))</f>
        <v/>
      </c>
      <c r="I64" s="86"/>
      <c r="J64" s="57"/>
      <c r="K64" s="87"/>
    </row>
    <row r="65" spans="1:11" x14ac:dyDescent="0.25">
      <c r="A65" s="56"/>
      <c r="B65" s="18" t="s">
        <v>162</v>
      </c>
      <c r="C65" s="19"/>
      <c r="D65" s="20"/>
      <c r="E65" s="22" t="str">
        <f>IFERROR(E99/E59, "")</f>
        <v/>
      </c>
      <c r="F65" s="22">
        <f>IFERROR(F99/F59, "")</f>
        <v>562.32471649484535</v>
      </c>
      <c r="G65" s="22" t="str">
        <f>IFERROR(G99/G59, "")</f>
        <v/>
      </c>
      <c r="H65" s="117" t="str">
        <f>IF($H$58=Lists!$D$8, IFERROR(F65-E65, ""), IF($H$58=Lists!$D$9, IFERROR(G65-E65, ""), IFERROR(G65-F65, "")))</f>
        <v/>
      </c>
      <c r="I65" s="88"/>
      <c r="J65" s="57"/>
      <c r="K65" s="87"/>
    </row>
    <row r="66" spans="1:11" x14ac:dyDescent="0.25">
      <c r="A66" s="56"/>
      <c r="B66" s="145" t="s">
        <v>5</v>
      </c>
      <c r="C66" s="146"/>
      <c r="D66" s="146"/>
      <c r="E66" s="146"/>
      <c r="F66" s="146"/>
      <c r="G66" s="146"/>
      <c r="H66" s="146"/>
      <c r="I66" s="147"/>
      <c r="J66" s="57"/>
    </row>
    <row r="67" spans="1:11" x14ac:dyDescent="0.25">
      <c r="A67" s="56"/>
      <c r="B67" s="12" t="s">
        <v>6</v>
      </c>
      <c r="C67" s="13"/>
      <c r="D67" s="14"/>
      <c r="E67" s="89"/>
      <c r="F67" s="89">
        <v>44757</v>
      </c>
      <c r="G67" s="90">
        <v>44757</v>
      </c>
      <c r="H67" s="114" t="str">
        <f>IF(SUM(E67:G67)=0, "", IF($H$58=Lists!$D$8, IFERROR(MROUND(CONVERT(F67-E67,"day","yr")*12, 0.5)&amp;" mo.", ""), IF($H$58=Lists!$D$9, IFERROR(MROUND(CONVERT(G67-E67,"day","yr")*12, 0.5)&amp;" mo.", ""), IFERROR(MROUND(CONVERT(G67-F67,"day","yr")*12, 0.5)&amp;" mo.", ""))))</f>
        <v>0 mo.</v>
      </c>
      <c r="I67" s="83"/>
      <c r="J67" s="57"/>
    </row>
    <row r="68" spans="1:11" x14ac:dyDescent="0.25">
      <c r="A68" s="56"/>
      <c r="B68" s="15" t="s">
        <v>7</v>
      </c>
      <c r="D68" s="16"/>
      <c r="E68" s="89"/>
      <c r="F68" s="89">
        <v>44958</v>
      </c>
      <c r="G68" s="90">
        <v>44958</v>
      </c>
      <c r="H68" s="114" t="str">
        <f>IF(SUM(E68:G68)=0, "", IF($H$58=Lists!$D$8, IFERROR(MROUND(CONVERT(F68-E68,"day","yr")*12, 0.5)&amp;" mo.", ""), IF($H$58=Lists!$D$9, IFERROR(MROUND(CONVERT(G68-E68,"day","yr")*12, 0.5)&amp;" mo.", ""), IFERROR(MROUND(CONVERT(G68-F68,"day","yr")*12, 0.5)&amp;" mo.", ""))))</f>
        <v>0 mo.</v>
      </c>
      <c r="I68" s="83"/>
      <c r="J68" s="57"/>
    </row>
    <row r="69" spans="1:11" x14ac:dyDescent="0.25">
      <c r="A69" s="56"/>
      <c r="B69" s="15" t="s">
        <v>163</v>
      </c>
      <c r="D69" s="16"/>
      <c r="E69" s="89"/>
      <c r="F69" s="89"/>
      <c r="G69" s="90"/>
      <c r="H69" s="114" t="str">
        <f>IF(SUM(E69:G69)=0, "", IF($H$58=Lists!$D$8, IFERROR(MROUND(CONVERT(F69-E69,"day","yr")*12, 0.5)&amp;" mo.", ""), IF($H$58=Lists!$D$9, IFERROR(MROUND(CONVERT(G69-E69,"day","yr")*12, 0.5)&amp;" mo.", ""), IFERROR(MROUND(CONVERT(G69-F69,"day","yr")*12, 0.5)&amp;" mo.", ""))))</f>
        <v/>
      </c>
      <c r="I69" s="83"/>
      <c r="J69" s="57"/>
    </row>
    <row r="70" spans="1:11" x14ac:dyDescent="0.25">
      <c r="A70" s="56"/>
      <c r="B70" s="15" t="s">
        <v>66</v>
      </c>
      <c r="D70" s="16"/>
      <c r="E70" s="89"/>
      <c r="F70" s="89">
        <v>44945</v>
      </c>
      <c r="G70" s="90">
        <v>44945</v>
      </c>
      <c r="H70" s="114" t="str">
        <f>IF(SUM(E70:G70)=0, "", IF($H$58=Lists!$D$8, IFERROR(MROUND(CONVERT(F70-E70,"day","yr")*12, 0.5)&amp;" mo.", ""), IF($H$58=Lists!$D$9, IFERROR(MROUND(CONVERT(G70-E70,"day","yr")*12, 0.5)&amp;" mo.", ""), IFERROR(MROUND(CONVERT(G70-F70,"day","yr")*12, 0.5)&amp;" mo.", ""))))</f>
        <v>0 mo.</v>
      </c>
      <c r="I70" s="83"/>
      <c r="J70" s="57"/>
    </row>
    <row r="71" spans="1:11" x14ac:dyDescent="0.25">
      <c r="A71" s="56"/>
      <c r="B71" s="15" t="s">
        <v>8</v>
      </c>
      <c r="D71" s="16"/>
      <c r="E71" s="89"/>
      <c r="F71" s="89">
        <v>45565</v>
      </c>
      <c r="G71" s="90">
        <v>45663</v>
      </c>
      <c r="H71" s="114" t="str">
        <f>IF(SUM(E71:G71)=0, "", IF($H$58=Lists!$D$8, IFERROR(MROUND(CONVERT(F71-E71,"day","yr")*12, 0.5)&amp;" mo.", ""), IF($H$58=Lists!$D$9, IFERROR(MROUND(CONVERT(G71-E71,"day","yr")*12, 0.5)&amp;" mo.", ""), IFERROR(MROUND(CONVERT(G71-F71,"day","yr")*12, 0.5)&amp;" mo.", ""))))</f>
        <v>3 mo.</v>
      </c>
      <c r="I71" s="83" t="s">
        <v>223</v>
      </c>
      <c r="J71" s="57"/>
    </row>
    <row r="72" spans="1:11" x14ac:dyDescent="0.25">
      <c r="A72" s="56"/>
      <c r="B72" s="18" t="s">
        <v>9</v>
      </c>
      <c r="C72" s="19"/>
      <c r="D72" s="20"/>
      <c r="E72" s="89"/>
      <c r="F72" s="89">
        <v>45717</v>
      </c>
      <c r="G72" s="90"/>
      <c r="H72" s="114" t="str">
        <f>IF(SUM(E72:G72)=0, "", IF($H$58=Lists!$D$8, IFERROR(MROUND(CONVERT(F72-E72,"day","yr")*12, 0.5)&amp;" mo.", ""), IF($H$58=Lists!$D$9, IFERROR(MROUND(CONVERT(G72-E72,"day","yr")*12, 0.5)&amp;" mo.", ""), IFERROR(MROUND(CONVERT(G72-F72,"day","yr")*12, 0.5)&amp;" mo.", ""))))</f>
        <v/>
      </c>
      <c r="I72" s="83"/>
      <c r="J72" s="57"/>
    </row>
    <row r="73" spans="1:11" ht="6" customHeight="1" thickBot="1" x14ac:dyDescent="0.3">
      <c r="A73" s="91"/>
      <c r="B73" s="23"/>
      <c r="C73" s="23"/>
      <c r="D73" s="23"/>
      <c r="E73" s="24"/>
      <c r="F73" s="24"/>
      <c r="G73" s="24"/>
      <c r="H73" s="25"/>
      <c r="I73" s="92"/>
      <c r="J73" s="93"/>
    </row>
    <row r="74" spans="1:11" s="69" customFormat="1" ht="27" customHeight="1" thickTop="1" thickBot="1" x14ac:dyDescent="0.3">
      <c r="A74" s="154" t="s">
        <v>152</v>
      </c>
      <c r="B74" s="155"/>
      <c r="C74" s="155"/>
      <c r="D74" s="155"/>
      <c r="E74" s="155"/>
      <c r="F74" s="155"/>
      <c r="G74" s="155"/>
      <c r="H74" s="155"/>
      <c r="I74" s="155"/>
      <c r="J74" s="156"/>
    </row>
    <row r="75" spans="1:11" ht="9.9499999999999993" customHeight="1" thickTop="1" x14ac:dyDescent="0.25">
      <c r="A75" s="56"/>
      <c r="B75" s="33"/>
      <c r="C75" s="33"/>
      <c r="D75" s="33"/>
      <c r="E75" s="26"/>
      <c r="F75" s="26"/>
      <c r="G75" s="26"/>
      <c r="H75" s="27"/>
      <c r="I75" s="94"/>
      <c r="J75" s="57"/>
    </row>
    <row r="76" spans="1:11" ht="75" customHeight="1" x14ac:dyDescent="0.25">
      <c r="A76" s="56"/>
      <c r="B76" s="144" t="s">
        <v>176</v>
      </c>
      <c r="C76" s="144"/>
      <c r="D76" s="144"/>
      <c r="E76" s="74" t="s">
        <v>196</v>
      </c>
      <c r="F76" s="74" t="s">
        <v>197</v>
      </c>
      <c r="G76" s="74" t="str">
        <f>IF(FCOR=TRUE, "Actual Cost Data at Final Completion", "Actual Costs to Date")</f>
        <v>Actual Costs to Date</v>
      </c>
      <c r="H76" s="74" t="str">
        <f>H58</f>
        <v>Estimate as Currently Funded to Actuals Variance</v>
      </c>
      <c r="I76" s="11" t="s">
        <v>67</v>
      </c>
      <c r="J76" s="57"/>
    </row>
    <row r="77" spans="1:11" x14ac:dyDescent="0.25">
      <c r="A77" s="56"/>
      <c r="B77" s="148" t="s">
        <v>11</v>
      </c>
      <c r="C77" s="149"/>
      <c r="D77" s="149"/>
      <c r="E77" s="149"/>
      <c r="F77" s="149"/>
      <c r="G77" s="149"/>
      <c r="H77" s="149"/>
      <c r="I77" s="150"/>
      <c r="J77" s="57"/>
    </row>
    <row r="78" spans="1:11" x14ac:dyDescent="0.25">
      <c r="A78" s="56"/>
      <c r="B78" s="165" t="s">
        <v>50</v>
      </c>
      <c r="C78" s="166"/>
      <c r="D78" s="167"/>
      <c r="E78" s="95"/>
      <c r="F78" s="95"/>
      <c r="G78" s="95"/>
      <c r="H78" s="118">
        <f>IF($H$58=Lists!$D$8, IFERROR(F78-E78, ""), IF($H$58=Lists!$D$9, IFERROR(G78-E78, ""), IFERROR(G78-F78, "")))</f>
        <v>0</v>
      </c>
      <c r="I78" s="83"/>
      <c r="J78" s="57"/>
    </row>
    <row r="79" spans="1:11" ht="9.9499999999999993" customHeight="1" x14ac:dyDescent="0.25">
      <c r="A79" s="56"/>
      <c r="B79" s="28"/>
      <c r="C79" s="28"/>
      <c r="D79" s="28"/>
      <c r="E79" s="29"/>
      <c r="F79" s="29"/>
      <c r="G79" s="29"/>
      <c r="H79" s="30"/>
      <c r="I79" s="96"/>
      <c r="J79" s="57"/>
    </row>
    <row r="80" spans="1:11" x14ac:dyDescent="0.25">
      <c r="A80" s="56"/>
      <c r="B80" s="148" t="s">
        <v>12</v>
      </c>
      <c r="C80" s="149"/>
      <c r="D80" s="149"/>
      <c r="E80" s="149"/>
      <c r="F80" s="149"/>
      <c r="G80" s="149"/>
      <c r="H80" s="149"/>
      <c r="I80" s="150"/>
      <c r="J80" s="57"/>
    </row>
    <row r="81" spans="1:10" x14ac:dyDescent="0.25">
      <c r="A81" s="56"/>
      <c r="B81" s="12" t="s">
        <v>44</v>
      </c>
      <c r="C81" s="13"/>
      <c r="D81" s="14"/>
      <c r="E81" s="97"/>
      <c r="F81" s="97">
        <v>136807</v>
      </c>
      <c r="G81" s="98">
        <v>136321.54</v>
      </c>
      <c r="H81" s="31">
        <f>IF($H$58=Lists!$D$8, IFERROR(F81-E81, ""), IF($H$58=Lists!$D$9, IFERROR(G81-E81, ""), IFERROR(G81-F81, "")))</f>
        <v>-485.45999999999185</v>
      </c>
      <c r="I81" s="83"/>
      <c r="J81" s="57"/>
    </row>
    <row r="82" spans="1:10" x14ac:dyDescent="0.25">
      <c r="A82" s="56"/>
      <c r="B82" s="15" t="s">
        <v>164</v>
      </c>
      <c r="D82" s="16"/>
      <c r="E82" s="97"/>
      <c r="F82" s="97">
        <v>-2</v>
      </c>
      <c r="G82" s="98">
        <v>586366.56999999995</v>
      </c>
      <c r="H82" s="31">
        <f>IF($H$58=Lists!$D$8, IFERROR(F82-E82, ""), IF($H$58=Lists!$D$9, IFERROR(G82-E82, ""), IFERROR(G82-F82, "")))</f>
        <v>586368.56999999995</v>
      </c>
      <c r="I82" s="83"/>
      <c r="J82" s="57"/>
    </row>
    <row r="83" spans="1:10" x14ac:dyDescent="0.25">
      <c r="A83" s="56"/>
      <c r="B83" s="15" t="s">
        <v>166</v>
      </c>
      <c r="D83" s="16"/>
      <c r="E83" s="97"/>
      <c r="F83" s="97">
        <v>1863245</v>
      </c>
      <c r="G83" s="98">
        <v>1394899.22</v>
      </c>
      <c r="H83" s="31">
        <f>IF($H$58=Lists!$D$8, IFERROR(F83-E83, ""), IF($H$58=Lists!$D$9, IFERROR(G83-E83, ""), IFERROR(G83-F83, "")))</f>
        <v>-468345.78</v>
      </c>
      <c r="I83" s="83"/>
      <c r="J83" s="57"/>
    </row>
    <row r="84" spans="1:10" x14ac:dyDescent="0.25">
      <c r="A84" s="56"/>
      <c r="B84" s="15" t="s">
        <v>165</v>
      </c>
      <c r="D84" s="16"/>
      <c r="E84" s="97"/>
      <c r="F84" s="97">
        <v>-1</v>
      </c>
      <c r="G84" s="97">
        <v>1302037.27</v>
      </c>
      <c r="H84" s="31">
        <f>IF($H$58=Lists!$D$8, IFERROR(F84-E84, ""), IF($H$58=Lists!$D$9, IFERROR(G84-E84, ""), IFERROR(G84-F84, "")))</f>
        <v>1302038.27</v>
      </c>
      <c r="I84" s="83"/>
      <c r="J84" s="57"/>
    </row>
    <row r="85" spans="1:10" x14ac:dyDescent="0.25">
      <c r="A85" s="56"/>
      <c r="B85" s="15" t="s">
        <v>167</v>
      </c>
      <c r="D85" s="16"/>
      <c r="E85" s="97"/>
      <c r="F85" s="97">
        <v>-1</v>
      </c>
      <c r="G85" s="97">
        <v>604933.87</v>
      </c>
      <c r="H85" s="32">
        <f>IF($H$58=Lists!$D$8, IFERROR(F85-E85, ""), IF($H$58=Lists!$D$9, IFERROR(G85-E85, ""), IFERROR(G85-F85, "")))</f>
        <v>604934.87</v>
      </c>
      <c r="I85" s="83"/>
      <c r="J85" s="57"/>
    </row>
    <row r="86" spans="1:10" x14ac:dyDescent="0.25">
      <c r="A86" s="56"/>
      <c r="B86" s="15" t="s">
        <v>13</v>
      </c>
      <c r="D86" s="16"/>
      <c r="E86" s="97"/>
      <c r="F86" s="97">
        <v>0</v>
      </c>
      <c r="G86" s="98">
        <v>498170.82</v>
      </c>
      <c r="H86" s="31">
        <f>IF($H$58=Lists!$D$8, IFERROR(F86-E86, ""), IF($H$58=Lists!$D$9, IFERROR(G86-E86, ""), IFERROR(G86-F86, "")))</f>
        <v>498170.82</v>
      </c>
      <c r="I86" s="99"/>
      <c r="J86" s="57"/>
    </row>
    <row r="87" spans="1:10" x14ac:dyDescent="0.25">
      <c r="A87" s="56"/>
      <c r="B87" s="206" t="s">
        <v>14</v>
      </c>
      <c r="C87" s="207"/>
      <c r="D87" s="208"/>
      <c r="E87" s="34">
        <f>SUM(E81:E86)</f>
        <v>0</v>
      </c>
      <c r="F87" s="34">
        <f>SUM(F81:F86)</f>
        <v>2000048</v>
      </c>
      <c r="G87" s="34">
        <f>SUM(G81:G86)</f>
        <v>4522729.29</v>
      </c>
      <c r="H87" s="35">
        <f>IF($H$58=Lists!$D$8, IFERROR(F87-E87, ""), IF($H$58=Lists!$D$9, IFERROR(G87-E87, ""), IFERROR(G87-F87, "")))</f>
        <v>2522681.29</v>
      </c>
      <c r="I87" s="100"/>
      <c r="J87" s="57"/>
    </row>
    <row r="88" spans="1:10" ht="9.9499999999999993" customHeight="1" x14ac:dyDescent="0.25">
      <c r="A88" s="56"/>
      <c r="J88" s="57"/>
    </row>
    <row r="89" spans="1:10" x14ac:dyDescent="0.25">
      <c r="A89" s="56"/>
      <c r="B89" s="148" t="s">
        <v>15</v>
      </c>
      <c r="C89" s="149"/>
      <c r="D89" s="149"/>
      <c r="E89" s="149"/>
      <c r="F89" s="149"/>
      <c r="G89" s="149"/>
      <c r="H89" s="149"/>
      <c r="I89" s="150"/>
      <c r="J89" s="57"/>
    </row>
    <row r="90" spans="1:10" ht="14.45" customHeight="1" x14ac:dyDescent="0.25">
      <c r="A90" s="56"/>
      <c r="B90" s="12" t="s">
        <v>45</v>
      </c>
      <c r="C90" s="13"/>
      <c r="D90" s="14"/>
      <c r="E90" s="97"/>
      <c r="F90" s="97">
        <v>310651</v>
      </c>
      <c r="G90" s="98">
        <v>1254889</v>
      </c>
      <c r="H90" s="36">
        <f>IF($H$58=Lists!$D$8, IFERROR(F90-E90, ""), IF($H$58=Lists!$D$9, IFERROR(G90-E90, ""), IFERROR(G90-F90, "")))</f>
        <v>944238</v>
      </c>
      <c r="I90" s="83"/>
      <c r="J90" s="57"/>
    </row>
    <row r="91" spans="1:10" x14ac:dyDescent="0.25">
      <c r="A91" s="56"/>
      <c r="B91" s="15" t="s">
        <v>46</v>
      </c>
      <c r="D91" s="16"/>
      <c r="E91" s="97"/>
      <c r="F91" s="97">
        <v>5228247</v>
      </c>
      <c r="G91" s="98">
        <v>5594190.8399999999</v>
      </c>
      <c r="H91" s="36">
        <f>IF($H$58=Lists!$D$8, IFERROR(F91-E91, ""), IF($H$58=Lists!$D$9, IFERROR(G91-E91, ""), IFERROR(G91-F91, "")))</f>
        <v>365943.83999999985</v>
      </c>
      <c r="I91" s="99"/>
      <c r="J91" s="57"/>
    </row>
    <row r="92" spans="1:10" x14ac:dyDescent="0.25">
      <c r="A92" s="56"/>
      <c r="B92" s="15" t="s">
        <v>47</v>
      </c>
      <c r="D92" s="16"/>
      <c r="E92" s="97"/>
      <c r="F92" s="97">
        <v>12974576</v>
      </c>
      <c r="G92" s="97">
        <v>12141229.300000001</v>
      </c>
      <c r="H92" s="37">
        <f>IF($H$58=Lists!$D$8, IFERROR(F92-E92, ""), IF($H$58=Lists!$D$9, IFERROR(G92-E92, ""), IFERROR(G92-F92, "")))</f>
        <v>-833346.69999999925</v>
      </c>
      <c r="I92" s="99"/>
      <c r="J92" s="57"/>
    </row>
    <row r="93" spans="1:10" x14ac:dyDescent="0.25">
      <c r="A93" s="56"/>
      <c r="B93" s="203" t="s">
        <v>51</v>
      </c>
      <c r="C93" s="204"/>
      <c r="D93" s="205"/>
      <c r="E93" s="38">
        <f>SUM(E90:E92)</f>
        <v>0</v>
      </c>
      <c r="F93" s="38">
        <f t="shared" ref="F93:G93" si="5">SUM(F90:F92)</f>
        <v>18513474</v>
      </c>
      <c r="G93" s="38">
        <f t="shared" si="5"/>
        <v>18990309.140000001</v>
      </c>
      <c r="H93" s="36">
        <f>IF($H$58=Lists!$D$8, IFERROR(F93-E93, ""), IF($H$58=Lists!$D$9, IFERROR(G93-E93, ""), IFERROR(G93-F93, "")))</f>
        <v>476835.1400000006</v>
      </c>
      <c r="I93" s="100"/>
      <c r="J93" s="57"/>
    </row>
    <row r="94" spans="1:10" x14ac:dyDescent="0.25">
      <c r="A94" s="56"/>
      <c r="B94" s="15" t="s">
        <v>48</v>
      </c>
      <c r="D94" s="16"/>
      <c r="E94" s="97"/>
      <c r="F94" s="97">
        <v>1303237</v>
      </c>
      <c r="G94" s="98">
        <v>1180901.68</v>
      </c>
      <c r="H94" s="36">
        <f>IF($H$58=Lists!$D$8, IFERROR(F94-E94, ""), IF($H$58=Lists!$D$9, IFERROR(G94-E94, ""), IFERROR(G94-F94, "")))</f>
        <v>-122335.32000000007</v>
      </c>
      <c r="I94" s="99"/>
      <c r="J94" s="57"/>
    </row>
    <row r="95" spans="1:10" x14ac:dyDescent="0.25">
      <c r="A95" s="56"/>
      <c r="B95" s="15" t="s">
        <v>49</v>
      </c>
      <c r="D95" s="16"/>
      <c r="E95" s="97"/>
      <c r="F95" s="97">
        <v>0</v>
      </c>
      <c r="G95" s="97"/>
      <c r="H95" s="36">
        <f>IF($H$58=Lists!$D$8, IFERROR(F95-E95, ""), IF($H$58=Lists!$D$9, IFERROR(G95-E95, ""), IFERROR(G95-F95, "")))</f>
        <v>0</v>
      </c>
      <c r="I95" s="99"/>
      <c r="J95" s="57"/>
    </row>
    <row r="96" spans="1:10" x14ac:dyDescent="0.25">
      <c r="A96" s="56"/>
      <c r="B96" s="15" t="s">
        <v>40</v>
      </c>
      <c r="D96" s="16"/>
      <c r="E96" s="97"/>
      <c r="F96" s="97">
        <v>2001488</v>
      </c>
      <c r="G96" s="97">
        <v>2283226.31</v>
      </c>
      <c r="H96" s="36">
        <f>IF($H$58=Lists!$D$8, IFERROR(F96-E96, ""), IF($H$58=Lists!$D$9, IFERROR(G96-E96, ""), IFERROR(G96-F96, "")))</f>
        <v>281738.31000000006</v>
      </c>
      <c r="I96" s="99"/>
      <c r="J96" s="57"/>
    </row>
    <row r="97" spans="1:10" x14ac:dyDescent="0.25">
      <c r="A97" s="56"/>
      <c r="B97" s="15" t="str">
        <f>IF(C55=Lists!J3, "GCCM Costs", IF(C55=Lists!J4, "Design-Build Costs", ""))</f>
        <v>Design-Build Costs</v>
      </c>
      <c r="D97" s="16"/>
      <c r="E97" s="97"/>
      <c r="F97" s="97"/>
      <c r="G97" s="97">
        <v>1180901.68</v>
      </c>
      <c r="H97" s="36">
        <f>IF($H$58=Lists!$D$8, IFERROR(F97-E97, ""), IF($H$58=Lists!$D$9, IFERROR(G97-E97, ""), IFERROR(G97-F97, "")))</f>
        <v>1180901.68</v>
      </c>
      <c r="I97" s="99"/>
      <c r="J97" s="57"/>
    </row>
    <row r="98" spans="1:10" x14ac:dyDescent="0.25">
      <c r="A98" s="56"/>
      <c r="B98" s="15" t="str">
        <f>IF(C55=Lists!J3, "GCCM Risk Contingency", "")</f>
        <v/>
      </c>
      <c r="D98" s="16"/>
      <c r="E98" s="97"/>
      <c r="F98" s="97"/>
      <c r="G98" s="97"/>
      <c r="H98" s="36">
        <f>IF($H$58=Lists!$D$8, IFERROR(F98-E98, ""), IF($H$58=Lists!$D$9, IFERROR(G98-E98, ""), IFERROR(G98-F98, "")))</f>
        <v>0</v>
      </c>
      <c r="I98" s="99"/>
      <c r="J98" s="57"/>
    </row>
    <row r="99" spans="1:10" x14ac:dyDescent="0.25">
      <c r="A99" s="56"/>
      <c r="B99" s="206" t="s">
        <v>52</v>
      </c>
      <c r="C99" s="207"/>
      <c r="D99" s="208"/>
      <c r="E99" s="38">
        <f>SUM(E93:E98)</f>
        <v>0</v>
      </c>
      <c r="F99" s="38">
        <f t="shared" ref="F99:G99" si="6">SUM(F93:F98)</f>
        <v>21818199</v>
      </c>
      <c r="G99" s="38">
        <f t="shared" si="6"/>
        <v>23635338.809999999</v>
      </c>
      <c r="H99" s="39">
        <f>IF($H$58=Lists!$D$8, IFERROR(F99-E99, ""), IF($H$58=Lists!$D$9, IFERROR(G99-E99, ""), IFERROR(G99-F99, "")))</f>
        <v>1817139.8099999987</v>
      </c>
      <c r="I99" s="84"/>
      <c r="J99" s="57"/>
    </row>
    <row r="100" spans="1:10" ht="9.9499999999999993" customHeight="1" x14ac:dyDescent="0.25">
      <c r="A100" s="56"/>
      <c r="J100" s="57"/>
    </row>
    <row r="101" spans="1:10" x14ac:dyDescent="0.25">
      <c r="A101" s="56"/>
      <c r="B101" s="148" t="s">
        <v>16</v>
      </c>
      <c r="C101" s="149"/>
      <c r="D101" s="149"/>
      <c r="E101" s="149"/>
      <c r="F101" s="149"/>
      <c r="G101" s="149"/>
      <c r="H101" s="149"/>
      <c r="I101" s="150"/>
      <c r="J101" s="57"/>
    </row>
    <row r="102" spans="1:10" x14ac:dyDescent="0.25">
      <c r="A102" s="56"/>
      <c r="B102" s="40" t="s">
        <v>17</v>
      </c>
      <c r="D102" s="16"/>
      <c r="E102" s="101"/>
      <c r="F102" s="101">
        <v>1439227</v>
      </c>
      <c r="G102" s="102">
        <v>491168.05</v>
      </c>
      <c r="H102" s="41">
        <f>IF($H$58=Lists!$D$8, IFERROR(F102-E102, ""), IF($H$58=Lists!$D$9, IFERROR(G102-E102, ""), IFERROR(G102-F102, "")))</f>
        <v>-948058.95</v>
      </c>
      <c r="I102" s="103"/>
      <c r="J102" s="104"/>
    </row>
    <row r="103" spans="1:10" x14ac:dyDescent="0.25">
      <c r="A103" s="56"/>
      <c r="B103" s="40" t="s">
        <v>18</v>
      </c>
      <c r="D103" s="16"/>
      <c r="E103" s="101"/>
      <c r="F103" s="101">
        <v>87121</v>
      </c>
      <c r="G103" s="102">
        <v>15418</v>
      </c>
      <c r="H103" s="41">
        <f>IF($H$58=Lists!$D$8, IFERROR(F103-E103, ""), IF($H$58=Lists!$D$9, IFERROR(G103-E103, ""), IFERROR(G103-F103, "")))</f>
        <v>-71703</v>
      </c>
      <c r="I103" s="103"/>
      <c r="J103" s="104"/>
    </row>
    <row r="104" spans="1:10" x14ac:dyDescent="0.25">
      <c r="A104" s="56"/>
      <c r="B104" s="40" t="s">
        <v>53</v>
      </c>
      <c r="D104" s="16"/>
      <c r="E104" s="97"/>
      <c r="F104" s="97">
        <v>417546</v>
      </c>
      <c r="G104" s="98">
        <v>356300</v>
      </c>
      <c r="H104" s="42">
        <f>IF($H$58=Lists!$D$8, IFERROR(F104-E104, ""), IF($H$58=Lists!$D$9, IFERROR(G104-E104, ""), IFERROR(G104-F104, "")))</f>
        <v>-61246</v>
      </c>
      <c r="I104" s="83"/>
      <c r="J104" s="57"/>
    </row>
    <row r="105" spans="1:10" ht="45" x14ac:dyDescent="0.25">
      <c r="A105" s="56"/>
      <c r="B105" s="40" t="s">
        <v>147</v>
      </c>
      <c r="D105" s="16"/>
      <c r="E105" s="97"/>
      <c r="F105" s="97">
        <v>212296</v>
      </c>
      <c r="G105" s="105">
        <v>347746.76</v>
      </c>
      <c r="H105" s="43">
        <f>IF($H$58=Lists!$D$8, IFERROR(F105-E105, ""), IF($H$58=Lists!$D$9, IFERROR(G105-E105, ""), IFERROR(G105-F105, "")))</f>
        <v>135450.76</v>
      </c>
      <c r="I105" s="130" t="s">
        <v>221</v>
      </c>
      <c r="J105" s="104"/>
    </row>
    <row r="106" spans="1:10" ht="15.75" thickBot="1" x14ac:dyDescent="0.3">
      <c r="A106" s="56"/>
      <c r="B106" s="209" t="s">
        <v>54</v>
      </c>
      <c r="C106" s="210"/>
      <c r="D106" s="211"/>
      <c r="E106" s="44">
        <f>SUM(E102:E105)</f>
        <v>0</v>
      </c>
      <c r="F106" s="44">
        <f>SUM(F102:F105)</f>
        <v>2156190</v>
      </c>
      <c r="G106" s="44">
        <f>SUM(G102:G105)</f>
        <v>1210632.81</v>
      </c>
      <c r="H106" s="39">
        <f>IF($H$58=Lists!$D$8, IFERROR(F106-E106, ""), IF($H$58=Lists!$D$9, IFERROR(G106-E106, ""), IFERROR(G106-F106, "")))</f>
        <v>-945557.19</v>
      </c>
      <c r="I106" s="106"/>
      <c r="J106" s="104"/>
    </row>
    <row r="107" spans="1:10" ht="20.25" thickTop="1" thickBot="1" x14ac:dyDescent="0.35">
      <c r="A107" s="56"/>
      <c r="B107" s="107" t="s">
        <v>145</v>
      </c>
      <c r="C107" s="108"/>
      <c r="D107" s="108"/>
      <c r="E107" s="109">
        <f>SUM(E78,E87,E99,E106)</f>
        <v>0</v>
      </c>
      <c r="F107" s="109">
        <f>SUM(F78,F87,F99,F106)</f>
        <v>25974437</v>
      </c>
      <c r="G107" s="109">
        <f>SUM(G78,G87,G99,G106)</f>
        <v>29368700.909999996</v>
      </c>
      <c r="H107" s="109">
        <f>SUM(H78,H87,H99,H106)</f>
        <v>3394263.9099999988</v>
      </c>
      <c r="I107" s="110"/>
      <c r="J107" s="104"/>
    </row>
    <row r="108" spans="1:10" ht="9.9499999999999993" customHeight="1" thickTop="1" x14ac:dyDescent="0.25">
      <c r="A108" s="56"/>
      <c r="B108" s="45"/>
      <c r="C108" s="45"/>
      <c r="D108" s="45"/>
      <c r="E108" s="46"/>
      <c r="F108" s="46"/>
      <c r="G108" s="46"/>
      <c r="H108" s="46"/>
      <c r="I108" s="111"/>
      <c r="J108" s="104"/>
    </row>
    <row r="109" spans="1:10" s="1" customFormat="1" x14ac:dyDescent="0.25">
      <c r="A109" s="60"/>
      <c r="B109" s="151" t="str">
        <f>IF(ReportType=Lists!$O$2, "", "Close-Out Information")</f>
        <v/>
      </c>
      <c r="C109" s="152"/>
      <c r="D109" s="152"/>
      <c r="E109" s="152"/>
      <c r="F109" s="152"/>
      <c r="G109" s="152"/>
      <c r="H109" s="152"/>
      <c r="I109" s="153"/>
      <c r="J109" s="61"/>
    </row>
    <row r="110" spans="1:10" s="1" customFormat="1" x14ac:dyDescent="0.25">
      <c r="A110" s="60"/>
      <c r="B110" s="47"/>
      <c r="C110" s="219"/>
      <c r="D110" s="219"/>
      <c r="E110" s="219" t="str">
        <f>IF(ReportType=Lists!$O$2, "", "NOTES")</f>
        <v/>
      </c>
      <c r="F110" s="219"/>
      <c r="G110" s="219"/>
      <c r="H110" s="219"/>
      <c r="I110" s="164"/>
      <c r="J110" s="61"/>
    </row>
    <row r="111" spans="1:10" ht="15" customHeight="1" x14ac:dyDescent="0.25">
      <c r="A111" s="56"/>
      <c r="B111" s="80" t="str">
        <f>IF(ReportType=Lists!$O$2, "", "Number of Change Orders")</f>
        <v/>
      </c>
      <c r="C111" s="212"/>
      <c r="D111" s="213"/>
      <c r="E111" s="216"/>
      <c r="F111" s="217"/>
      <c r="G111" s="217"/>
      <c r="H111" s="217"/>
      <c r="I111" s="218"/>
      <c r="J111" s="57"/>
    </row>
    <row r="112" spans="1:10" ht="15" customHeight="1" x14ac:dyDescent="0.25">
      <c r="A112" s="56"/>
      <c r="B112" s="80" t="str">
        <f>IF(ReportType=Lists!$O$2, "", "Total Value of Change Orders")</f>
        <v/>
      </c>
      <c r="C112" s="220"/>
      <c r="D112" s="221"/>
      <c r="E112" s="120"/>
      <c r="F112" s="121"/>
      <c r="G112" s="121"/>
      <c r="H112" s="121"/>
      <c r="I112" s="122"/>
      <c r="J112" s="57"/>
    </row>
    <row r="113" spans="1:10" ht="15" customHeight="1" x14ac:dyDescent="0.25">
      <c r="A113" s="56"/>
      <c r="B113" s="80" t="str">
        <f>IF(ReportType=Lists!$O$2, "", "Outstanding Liabilities")</f>
        <v/>
      </c>
      <c r="C113" s="220"/>
      <c r="D113" s="221"/>
      <c r="E113" s="120"/>
      <c r="F113" s="121"/>
      <c r="G113" s="121"/>
      <c r="H113" s="121"/>
      <c r="I113" s="122"/>
      <c r="J113" s="57"/>
    </row>
    <row r="114" spans="1:10" x14ac:dyDescent="0.25">
      <c r="A114" s="56"/>
      <c r="B114" s="18" t="str">
        <f>IF(ReportType=Lists!$O$2, "", "Unsettled Claims")</f>
        <v/>
      </c>
      <c r="C114" s="214"/>
      <c r="D114" s="215"/>
      <c r="E114" s="216"/>
      <c r="F114" s="217"/>
      <c r="G114" s="217"/>
      <c r="H114" s="217"/>
      <c r="I114" s="218"/>
      <c r="J114" s="57"/>
    </row>
    <row r="115" spans="1:10" ht="9.9499999999999993" customHeight="1" x14ac:dyDescent="0.25">
      <c r="A115" s="56"/>
      <c r="J115" s="57"/>
    </row>
    <row r="116" spans="1:10" ht="15.75" thickBot="1" x14ac:dyDescent="0.3">
      <c r="A116" s="56"/>
      <c r="B116" s="1" t="s">
        <v>20</v>
      </c>
      <c r="J116" s="57"/>
    </row>
    <row r="117" spans="1:10" x14ac:dyDescent="0.25">
      <c r="A117" s="56"/>
      <c r="B117" s="194" t="s">
        <v>226</v>
      </c>
      <c r="C117" s="195"/>
      <c r="D117" s="195"/>
      <c r="E117" s="195"/>
      <c r="F117" s="195"/>
      <c r="G117" s="195"/>
      <c r="H117" s="195"/>
      <c r="I117" s="196"/>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x14ac:dyDescent="0.25">
      <c r="A134" s="56"/>
      <c r="B134" s="197"/>
      <c r="C134" s="198"/>
      <c r="D134" s="198"/>
      <c r="E134" s="198"/>
      <c r="F134" s="198"/>
      <c r="G134" s="198"/>
      <c r="H134" s="198"/>
      <c r="I134" s="199"/>
      <c r="J134" s="57"/>
    </row>
    <row r="135" spans="1:10" x14ac:dyDescent="0.25">
      <c r="A135" s="56"/>
      <c r="B135" s="197"/>
      <c r="C135" s="198"/>
      <c r="D135" s="198"/>
      <c r="E135" s="198"/>
      <c r="F135" s="198"/>
      <c r="G135" s="198"/>
      <c r="H135" s="198"/>
      <c r="I135" s="199"/>
      <c r="J135" s="57"/>
    </row>
    <row r="136" spans="1:10" ht="15.75" thickBot="1" x14ac:dyDescent="0.3">
      <c r="A136" s="56"/>
      <c r="B136" s="200"/>
      <c r="C136" s="201"/>
      <c r="D136" s="201"/>
      <c r="E136" s="201"/>
      <c r="F136" s="201"/>
      <c r="G136" s="201"/>
      <c r="H136" s="201"/>
      <c r="I136" s="202"/>
      <c r="J136" s="57"/>
    </row>
    <row r="137" spans="1:10" ht="9.9499999999999993" customHeight="1" thickBot="1" x14ac:dyDescent="0.3">
      <c r="A137" s="91"/>
      <c r="B137" s="63"/>
      <c r="C137" s="63"/>
      <c r="D137" s="63"/>
      <c r="E137" s="63"/>
      <c r="F137" s="63"/>
      <c r="G137" s="63"/>
      <c r="H137" s="63"/>
      <c r="I137" s="63"/>
      <c r="J137" s="93"/>
    </row>
    <row r="138" spans="1:10" ht="15.75" thickTop="1" x14ac:dyDescent="0.25"/>
  </sheetData>
  <sheetProtection formatCells="0" formatColumns="0" formatRows="0" insertRows="0" insertHyperlinks="0"/>
  <mergeCells count="53">
    <mergeCell ref="B117:I136"/>
    <mergeCell ref="B93:D93"/>
    <mergeCell ref="B99:D99"/>
    <mergeCell ref="B106:D106"/>
    <mergeCell ref="B87:D87"/>
    <mergeCell ref="B109:I109"/>
    <mergeCell ref="C111:D111"/>
    <mergeCell ref="C114:D114"/>
    <mergeCell ref="E111:I111"/>
    <mergeCell ref="E114:I114"/>
    <mergeCell ref="C110:D110"/>
    <mergeCell ref="E110:I110"/>
    <mergeCell ref="B89:I89"/>
    <mergeCell ref="B101:I101"/>
    <mergeCell ref="C112:D112"/>
    <mergeCell ref="C113:D113"/>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80:I80"/>
    <mergeCell ref="B29:I29"/>
    <mergeCell ref="B52:I52"/>
    <mergeCell ref="A74:J74"/>
    <mergeCell ref="B76:D76"/>
    <mergeCell ref="C30:I30"/>
    <mergeCell ref="C31:D31"/>
    <mergeCell ref="E31:G31"/>
    <mergeCell ref="H31:H32"/>
    <mergeCell ref="I31:I32"/>
    <mergeCell ref="B78:D78"/>
    <mergeCell ref="E53:F53"/>
    <mergeCell ref="C53:D53"/>
    <mergeCell ref="C54:D54"/>
    <mergeCell ref="C55:D55"/>
    <mergeCell ref="B77:I77"/>
    <mergeCell ref="G53:H53"/>
    <mergeCell ref="G54:H54"/>
    <mergeCell ref="G55:H55"/>
    <mergeCell ref="B58:D58"/>
    <mergeCell ref="B66:I66"/>
    <mergeCell ref="B57:I57"/>
  </mergeCells>
  <conditionalFormatting sqref="A1:J12">
    <cfRule type="expression" dxfId="5" priority="1">
      <formula>CELL("PROTECT", A1)=0</formula>
    </cfRule>
  </conditionalFormatting>
  <conditionalFormatting sqref="A13:J101">
    <cfRule type="expression" dxfId="4" priority="5">
      <formula>CELL("PROTECT", A13)=0</formula>
    </cfRule>
  </conditionalFormatting>
  <conditionalFormatting sqref="A102:J105">
    <cfRule type="expression" dxfId="3" priority="2">
      <formula>CELL("PROTECT", A102)=0</formula>
    </cfRule>
  </conditionalFormatting>
  <conditionalFormatting sqref="A106:J111 A112:C113 E112:J113 A114:J137">
    <cfRule type="expression" dxfId="2" priority="12">
      <formula>CELL("PROTECT", A106)=0</formula>
    </cfRule>
  </conditionalFormatting>
  <conditionalFormatting sqref="E97:I98">
    <cfRule type="expression" dxfId="0" priority="4">
      <formula>$B97=""</formula>
    </cfRule>
  </conditionalFormatting>
  <dataValidations count="1">
    <dataValidation type="list" allowBlank="1" showInputMessage="1" showErrorMessage="1" sqref="K65" xr:uid="{00000000-0002-0000-0100-000000000000}">
      <formula1>"PMoptions"</formula1>
    </dataValidation>
  </dataValidations>
  <hyperlinks>
    <hyperlink ref="C12" r:id="rId1" xr:uid="{90D15E1E-66BA-4D15-A096-04CAF46C10BE}"/>
  </hyperlinks>
  <printOptions horizontalCentered="1"/>
  <pageMargins left="0.45" right="0.45" top="0.5" bottom="0.5" header="0.3" footer="0.3"/>
  <pageSetup scale="65" fitToHeight="2" orientation="portrait" r:id="rId2"/>
  <headerFooter>
    <oddFooter>&amp;C&amp;P</oddFooter>
  </headerFooter>
  <rowBreaks count="1" manualBreakCount="1">
    <brk id="73"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B109:I114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C53:D53</xm:sqref>
        </x14:dataValidation>
        <x14:dataValidation type="list" allowBlank="1" showInputMessage="1" showErrorMessage="1" xr:uid="{00000000-0002-0000-0100-000002000000}">
          <x14:formula1>
            <xm:f>Lists!$D$2:$D$3</xm:f>
          </x14:formula1>
          <xm:sqref>G54:H55</xm:sqref>
        </x14:dataValidation>
        <x14:dataValidation type="list" allowBlank="1" showInputMessage="1" showErrorMessage="1" xr:uid="{00000000-0002-0000-0100-000003000000}">
          <x14:formula1>
            <xm:f>Lists!$F$2:$F$4</xm:f>
          </x14:formula1>
          <xm:sqref>G53:H53</xm:sqref>
        </x14:dataValidation>
        <x14:dataValidation type="list" allowBlank="1" showInputMessage="1" showErrorMessage="1" xr:uid="{00000000-0002-0000-0100-000004000000}">
          <x14:formula1>
            <xm:f>Lists!$J$2:$J$5</xm:f>
          </x14:formula1>
          <xm:sqref>C55:D55</xm:sqref>
        </x14:dataValidation>
        <x14:dataValidation type="list" allowBlank="1" showInputMessage="1" showErrorMessage="1" xr:uid="{00000000-0002-0000-0100-000005000000}">
          <x14:formula1>
            <xm:f>Lists!$D$8:$D$10</xm:f>
          </x14:formula1>
          <xm:sqref>H58</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B6C3-0674-4FC3-9130-A3450D25AC9E}">
  <dimension ref="A1:AE3"/>
  <sheetViews>
    <sheetView showGridLines="0" view="pageLayout" topLeftCell="A34" zoomScaleNormal="100" workbookViewId="0">
      <selection activeCell="J59" sqref="J59"/>
    </sheetView>
  </sheetViews>
  <sheetFormatPr defaultColWidth="8.71093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204</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31" zoomScaleNormal="100" workbookViewId="0">
      <selection activeCell="U64" sqref="U64"/>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204</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40000516 Pierce College - Fort Steilacoom Olympic South Asbestos Abatement</dc:title>
  <dc:creator>Office of Financial Management;Christine Thomas</dc:creator>
  <cp:lastModifiedBy>Susan Locke</cp:lastModifiedBy>
  <cp:lastPrinted>2024-12-23T21:53:51Z</cp:lastPrinted>
  <dcterms:created xsi:type="dcterms:W3CDTF">2012-08-29T14:59:47Z</dcterms:created>
  <dcterms:modified xsi:type="dcterms:W3CDTF">2025-06-24T17:31:24Z</dcterms:modified>
</cp:coreProperties>
</file>