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377D5763-554C-4A54-B981-E7A1A17A1FA6}"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Report'!$A$1:$J$141</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3" l="1"/>
  <c r="D43" i="3" l="1"/>
  <c r="H52" i="3"/>
  <c r="H86" i="3"/>
  <c r="F88" i="3"/>
  <c r="F89" i="3" s="1"/>
  <c r="H51" i="3"/>
  <c r="H50" i="3"/>
  <c r="H49" i="3"/>
  <c r="H48" i="3"/>
  <c r="H47" i="3"/>
  <c r="C33" i="3" l="1"/>
  <c r="H34" i="3"/>
  <c r="M26" i="4"/>
  <c r="M3" i="4"/>
  <c r="M4" i="4"/>
  <c r="M5" i="4"/>
  <c r="M6" i="4"/>
  <c r="M7" i="4"/>
  <c r="M8" i="4"/>
  <c r="M9" i="4"/>
  <c r="M10" i="4"/>
  <c r="M11" i="4"/>
  <c r="M12" i="4"/>
  <c r="M13" i="4"/>
  <c r="M14" i="4"/>
  <c r="M15" i="4"/>
  <c r="M16" i="4"/>
  <c r="M17" i="4"/>
  <c r="M18" i="4"/>
  <c r="M19" i="4"/>
  <c r="M20" i="4"/>
  <c r="M21" i="4"/>
  <c r="M22" i="4"/>
  <c r="M23" i="4"/>
  <c r="M24" i="4"/>
  <c r="M25" i="4"/>
  <c r="H71" i="3" l="1"/>
  <c r="H72" i="3"/>
  <c r="H74" i="3"/>
  <c r="H75" i="3"/>
  <c r="H76" i="3"/>
  <c r="H73" i="3"/>
  <c r="H45" i="3" l="1"/>
  <c r="H40" i="3"/>
  <c r="H35" i="3"/>
  <c r="H36" i="3"/>
  <c r="H37" i="3"/>
  <c r="B118" i="3" l="1"/>
  <c r="B117" i="3"/>
  <c r="B116" i="3"/>
  <c r="B113" i="3"/>
  <c r="B115" i="3"/>
  <c r="E114" i="3"/>
  <c r="H109" i="3"/>
  <c r="H108" i="3"/>
  <c r="H107" i="3"/>
  <c r="H106" i="3"/>
  <c r="H102" i="3"/>
  <c r="H101" i="3"/>
  <c r="H100" i="3"/>
  <c r="H99" i="3"/>
  <c r="H98" i="3"/>
  <c r="H96" i="3"/>
  <c r="H95" i="3"/>
  <c r="H94" i="3"/>
  <c r="H90" i="3"/>
  <c r="H89" i="3"/>
  <c r="H88" i="3"/>
  <c r="H87" i="3"/>
  <c r="H85" i="3"/>
  <c r="H82" i="3"/>
  <c r="H67" i="3"/>
  <c r="H66" i="3"/>
  <c r="H64" i="3"/>
  <c r="H63" i="3"/>
  <c r="H80" i="3" l="1"/>
  <c r="E65" i="3"/>
  <c r="F65" i="3"/>
  <c r="G65" i="3"/>
  <c r="H65" i="3" l="1"/>
  <c r="B102" i="3"/>
  <c r="B101" i="3"/>
  <c r="G80" i="3" l="1"/>
  <c r="G62" i="3"/>
  <c r="F97" i="3" l="1"/>
  <c r="F103" i="3" s="1"/>
  <c r="G97" i="3"/>
  <c r="E97" i="3"/>
  <c r="E103" i="3" s="1"/>
  <c r="H97" i="3" l="1"/>
  <c r="G103" i="3"/>
  <c r="H103" i="3" s="1"/>
  <c r="H53" i="3"/>
  <c r="H46" i="3"/>
  <c r="H44" i="3"/>
  <c r="H42" i="3"/>
  <c r="H41" i="3"/>
  <c r="H39" i="3"/>
  <c r="G43" i="3"/>
  <c r="F43" i="3"/>
  <c r="E43" i="3"/>
  <c r="C43" i="3"/>
  <c r="G38" i="3"/>
  <c r="F38" i="3"/>
  <c r="E38" i="3"/>
  <c r="D38" i="3"/>
  <c r="C38" i="3"/>
  <c r="D33" i="3"/>
  <c r="E33" i="3"/>
  <c r="F33" i="3"/>
  <c r="G33" i="3"/>
  <c r="H43" i="3" l="1"/>
  <c r="H38" i="3"/>
  <c r="H33" i="3"/>
  <c r="D54" i="3"/>
  <c r="C54" i="3"/>
  <c r="G54" i="3"/>
  <c r="F54" i="3"/>
  <c r="E54" i="3"/>
  <c r="F110" i="3"/>
  <c r="G110" i="3"/>
  <c r="H110" i="3" l="1"/>
  <c r="H54" i="3"/>
  <c r="F91" i="3" l="1"/>
  <c r="E110" i="3"/>
  <c r="G91" i="3" l="1"/>
  <c r="H91" i="3" s="1"/>
  <c r="E91" i="3"/>
  <c r="H111" i="3" l="1"/>
  <c r="E68" i="3"/>
  <c r="E111" i="3"/>
  <c r="E69" i="3"/>
  <c r="G68" i="3"/>
  <c r="F68" i="3"/>
  <c r="F69" i="3"/>
  <c r="G111" i="3"/>
  <c r="G69" i="3"/>
  <c r="H68" i="3" l="1"/>
  <c r="H69" i="3"/>
  <c r="F111" i="3"/>
</calcChain>
</file>

<file path=xl/sharedStrings.xml><?xml version="1.0" encoding="utf-8"?>
<sst xmlns="http://schemas.openxmlformats.org/spreadsheetml/2006/main" count="248" uniqueCount="223">
  <si>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</si>
  <si>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</si>
  <si>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</si>
  <si>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</si>
  <si>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</si>
  <si>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</si>
  <si>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</si>
  <si>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</si>
  <si>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</si>
  <si>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</si>
  <si>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</si>
  <si>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</si>
  <si>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</si>
  <si>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</si>
  <si>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</si>
  <si>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</si>
  <si>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</si>
  <si>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</si>
  <si>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</si>
  <si>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</si>
  <si>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</si>
  <si>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</si>
  <si>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</si>
  <si>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</si>
  <si>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</si>
  <si>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</si>
  <si>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</si>
  <si>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</si>
  <si>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</si>
  <si>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</si>
  <si>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</si>
  <si>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</si>
  <si>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</si>
  <si>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</si>
  <si>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</si>
  <si>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</si>
  <si>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</si>
  <si>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</si>
  <si>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</si>
  <si>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</si>
  <si>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</si>
  <si>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</si>
  <si>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</si>
  <si>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</si>
  <si>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</si>
  <si>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</si>
  <si>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</si>
  <si>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</si>
  <si>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</si>
  <si>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</si>
  <si>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</si>
  <si>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</si>
  <si>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</si>
  <si>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</si>
  <si>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</si>
  <si>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</si>
  <si>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</si>
  <si>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</si>
  <si>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</si>
  <si>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</si>
  <si>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</si>
  <si>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</si>
  <si>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</si>
  <si>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</si>
  <si>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</si>
  <si>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</si>
  <si>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</si>
  <si>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</si>
  <si>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</si>
  <si>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</si>
  <si>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</si>
  <si>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</si>
  <si>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</si>
  <si>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</si>
  <si>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</si>
  <si>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</si>
  <si>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</si>
  <si>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</si>
  <si>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</si>
  <si>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</si>
  <si>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</si>
  <si>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</si>
  <si>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</si>
  <si>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</si>
  <si>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</si>
  <si>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</si>
  <si>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</si>
  <si>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</si>
  <si>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</si>
  <si>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</si>
  <si>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</si>
  <si>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</si>
  <si>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</si>
  <si>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</si>
  <si>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</si>
  <si>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</si>
  <si>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</si>
  <si>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</si>
  <si>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</si>
  <si>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</si>
  <si>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</si>
  <si>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</si>
  <si>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</si>
  <si>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</si>
  <si>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</si>
  <si>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</si>
  <si>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</si>
  <si>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</si>
  <si>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</si>
  <si>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</si>
  <si>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</si>
  <si>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</si>
  <si>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</si>
  <si>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</si>
  <si>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</si>
  <si>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</si>
  <si>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</si>
  <si>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</si>
  <si>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</si>
  <si>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</si>
  <si>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</si>
  <si>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</si>
  <si>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</si>
  <si>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</si>
  <si>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</si>
  <si>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</si>
  <si>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</si>
  <si>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</si>
  <si>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</si>
  <si>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</si>
  <si>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</si>
  <si>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</si>
  <si>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</si>
  <si>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</si>
  <si>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</si>
  <si>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</si>
  <si>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</si>
  <si>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</si>
  <si>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</si>
  <si>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</si>
  <si>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</si>
  <si>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</si>
  <si>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</si>
  <si>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</si>
  <si>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</si>
  <si>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</si>
  <si>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</si>
  <si>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</si>
  <si>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</si>
  <si>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</si>
  <si>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</si>
  <si>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</si>
  <si>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</si>
  <si>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</si>
  <si>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</si>
  <si>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</si>
  <si>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</si>
  <si>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</si>
  <si>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</si>
  <si>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</si>
  <si>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</si>
  <si>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</si>
  <si>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</si>
  <si>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</si>
  <si>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</si>
  <si>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</si>
  <si>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</si>
  <si>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</si>
  <si>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</si>
  <si>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</si>
  <si>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</si>
  <si>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</si>
  <si>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</si>
  <si>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</si>
  <si>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</si>
  <si>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</si>
  <si>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</si>
  <si>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</si>
  <si>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</si>
  <si>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</si>
  <si>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</si>
  <si>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</si>
  <si>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</si>
  <si>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</si>
  <si>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Bellingham Technical College</t>
  </si>
  <si>
    <t>Campus Center Emergency</t>
  </si>
  <si>
    <t>Dave Jungkuntz</t>
  </si>
  <si>
    <t>360-752-8355</t>
  </si>
  <si>
    <t>djungkuntz@btc.edu</t>
  </si>
  <si>
    <t>A major structural failure on a 3-story truss was discovered in Fall 2022. Emergency repairs followed and additional structural investigations found more design and construction issues related to both gravity load and seismic integrity. Building occupants were relocated to other areas on campus until construction is completed. The 70,000 square foot building houses campus Library &amp; e-Learning, Associated Student Body space, Campus Tutoring, Trio-support, Computer Networking program, Business Computing program, Culinary Program, &amp; Campus Store.  Major project was approved by Legislature in Spring 2024. Building has been unoccupied since Summer 2023.</t>
  </si>
  <si>
    <t>057  - State Bldg. Const Acct</t>
  </si>
  <si>
    <t>060 - Other State Funding</t>
  </si>
  <si>
    <t>147 - Local Funds</t>
  </si>
  <si>
    <t>D09-R551</t>
  </si>
  <si>
    <t>D17-R616</t>
  </si>
  <si>
    <t>D24-R676</t>
  </si>
  <si>
    <t>R10-R601</t>
  </si>
  <si>
    <t>23-077: A&amp;E</t>
  </si>
  <si>
    <t>24-049: A&amp;E</t>
  </si>
  <si>
    <t>3rd Party Testing</t>
  </si>
  <si>
    <t>AHBL</t>
  </si>
  <si>
    <t>Coffman (50%); KPFF (100%); Zervas (50%)</t>
  </si>
  <si>
    <t>RMA-GeoTest (100%)</t>
  </si>
  <si>
    <t>Coffman (50%); Zervas (50%)</t>
  </si>
  <si>
    <t>23-077; 24-049: E &amp; H</t>
  </si>
  <si>
    <t>24-049: E</t>
  </si>
  <si>
    <t>24-049:  G</t>
  </si>
  <si>
    <t>Prtbles; Eqmt;</t>
  </si>
  <si>
    <t>D07-R609</t>
  </si>
  <si>
    <t>D13-R611</t>
  </si>
  <si>
    <t>D15-R615</t>
  </si>
  <si>
    <t>057  - State Bldgs. Const Acct</t>
  </si>
  <si>
    <t>% of Bldgs. Area that is being remodeled</t>
  </si>
  <si>
    <t>Commissioning; 3rd party Audit-Ankura (100%)</t>
  </si>
  <si>
    <t>King Cty; PacMobile; Diversification; Technology</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</si>
  <si>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</si>
  <si>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r>
      <t xml:space="preserve">Project Description:
</t>
    </r>
    <r>
      <rPr>
        <sz val="9"/>
        <color theme="1"/>
        <rFont val="Calibri"/>
        <family val="2"/>
        <scheme val="minor"/>
      </rPr>
      <t>(Include a brief summary of the project and the programs it supports.)</t>
    </r>
  </si>
  <si>
    <t>D25-R709 &amp; R722</t>
  </si>
  <si>
    <t>June 2026</t>
  </si>
  <si>
    <t>Dawson - G Contract</t>
  </si>
  <si>
    <t>Exxel &amp; Dawson - Emergency &amp; H Contracts</t>
  </si>
  <si>
    <t>Wa Arts - June 2026 - Artist selected and in design</t>
  </si>
  <si>
    <t>Since the December 2025 status update: From January 2026 through May 2026, Contractor work continued on finishes and project punch list items throughout the building and around the exterior of building.  Substantial completion of project was achieved in May 2026. BTC Facilities and Moving teams continued the fixture resets and user re-occupancy throughout the building.  Phased occupancy-step 2 for classrooms and the majority of the building was being used during  Winter Quarter 2026.  Third floor uses of Library, Associated Student Body space, and Tutoring were completed throughout Winter Quarter and over Spring Break (March/April 2026).  Temporary portable buildings were removed from Campus as of May 1st. Settlemyer Hall meeting space within Campus Center was re-occupied in May and BTC Campus Store is planned for relocation back into Campus Center by July 2026.  BTC Arts Committee &amp; WA Arts have selected an Artist for the Public Art.  Final project budget and schedule are under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</si>
</sst>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5" fillId="0" borderId="0"/>
  </cellStyleXfs>
  <cellXfs count="221">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0" xfId="0" applyBorder="1" applyAlignment="1" applyProtection="1">
      <alignment horizontal="left"/>
      <protection locked="0"/>
    </xf>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3" fontId="0" fillId="0" borderId="0" xfId="0" applyNumberFormat="1"/>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0" fontId="3" fillId="0" borderId="10" xfId="0" applyFont="1" applyBorder="1" applyAlignment="1" applyProtection="1">
      <alignment horizontal="left"/>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7" xfId="0" applyFont="1" applyBorder="1" applyAlignment="1">
      <alignment vertical="top" wrapText="1"/>
    </xf>
    <xf numFmtId="0" fontId="2" fillId="0" borderId="14" xfId="0" applyFont="1" applyBorder="1" applyAlignment="1">
      <alignment vertical="top" wrapText="1"/>
    </xf>
    <xf numFmtId="0" fontId="0" fillId="0" borderId="1" xfId="0" applyBorder="1" applyAlignment="1" applyProtection="1">
      <alignment horizontal="lef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6">
    <cellStyle name="Comma" xfId="1" builtinId="3"/>
    <cellStyle name="Currency" xfId="2" builtinId="4"/>
    <cellStyle name="Hyperlink" xfId="4" builtinId="8"/>
    <cellStyle name="Normal" xfId="0" builtinId="0"/>
    <cellStyle name="Normal 2" xfId="5" xr:uid="{AB2711CB-85BB-4ADA-AE51-EB30361C0B0F}"/>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jungkuntz@bt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1"/>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7265625" customWidth="1"/>
    <col min="9" max="9" width="14.54296875" customWidth="1"/>
    <col min="10" max="10" width="1.54296875" customWidth="1"/>
  </cols>
  <sheetData>
    <row r="1" spans="1:10" ht="21.5" thickTop="1" x14ac:dyDescent="0.5">
      <c r="A1" s="51"/>
      <c r="B1" s="130" t="s">
        <v>0</v>
      </c>
      <c r="C1" s="130"/>
      <c r="D1" s="130"/>
      <c r="E1" s="130"/>
      <c r="F1" s="130"/>
      <c r="G1" s="130"/>
      <c r="H1" s="130"/>
      <c r="I1" s="130"/>
      <c r="J1" s="52"/>
    </row>
    <row r="2" spans="1:10" x14ac:dyDescent="0.35">
      <c r="A2" s="53"/>
      <c r="B2" s="97"/>
      <c r="C2" s="97"/>
      <c r="D2" s="97"/>
      <c r="E2" s="97" t="s">
        <v>1</v>
      </c>
      <c r="F2" s="97"/>
      <c r="G2" s="97"/>
      <c r="H2" s="97"/>
      <c r="I2" s="97"/>
      <c r="J2" s="54"/>
    </row>
    <row r="3" spans="1:10" ht="21" x14ac:dyDescent="0.5">
      <c r="A3" s="53"/>
      <c r="B3" s="131" t="s">
        <v>2</v>
      </c>
      <c r="C3" s="131"/>
      <c r="D3" s="131"/>
      <c r="E3" s="131"/>
      <c r="F3" s="131"/>
      <c r="G3" s="131"/>
      <c r="H3" s="131"/>
      <c r="I3" s="131"/>
      <c r="J3" s="98"/>
    </row>
    <row r="4" spans="1:10" ht="21" customHeight="1" x14ac:dyDescent="0.5">
      <c r="A4" s="55"/>
      <c r="B4" s="129" t="s">
        <v>218</v>
      </c>
      <c r="C4" s="129"/>
      <c r="D4" s="129"/>
      <c r="E4" s="129"/>
      <c r="F4" s="129"/>
      <c r="G4" s="129"/>
      <c r="H4" s="129"/>
      <c r="I4" s="129"/>
      <c r="J4" s="99"/>
    </row>
    <row r="5" spans="1:10" s="1" customFormat="1" x14ac:dyDescent="0.35">
      <c r="A5" s="56"/>
      <c r="B5" t="s">
        <v>4</v>
      </c>
      <c r="C5" s="194" t="s">
        <v>184</v>
      </c>
      <c r="D5" s="194"/>
      <c r="E5" s="194"/>
      <c r="F5" s="194"/>
      <c r="G5" s="194"/>
      <c r="H5" s="194"/>
      <c r="J5" s="57"/>
    </row>
    <row r="6" spans="1:10" s="1" customFormat="1" x14ac:dyDescent="0.35">
      <c r="A6" s="56"/>
      <c r="B6" t="s">
        <v>5</v>
      </c>
      <c r="C6" s="196" t="s">
        <v>185</v>
      </c>
      <c r="D6" s="197"/>
      <c r="E6" s="197"/>
      <c r="F6" s="197"/>
      <c r="G6" s="197"/>
      <c r="H6" s="198"/>
      <c r="J6" s="57"/>
    </row>
    <row r="7" spans="1:10" s="1" customFormat="1" ht="15" thickBot="1" x14ac:dyDescent="0.4">
      <c r="A7" s="58"/>
      <c r="B7" s="59" t="s">
        <v>6</v>
      </c>
      <c r="C7" s="195">
        <v>40000916</v>
      </c>
      <c r="D7" s="195"/>
      <c r="E7" s="195"/>
      <c r="F7" s="195"/>
      <c r="G7" s="195"/>
      <c r="H7" s="195"/>
      <c r="I7" s="60"/>
      <c r="J7" s="61"/>
    </row>
    <row r="8" spans="1:10" s="1" customFormat="1" ht="10" customHeight="1" thickTop="1" x14ac:dyDescent="0.35">
      <c r="A8" s="56"/>
      <c r="B8"/>
      <c r="C8"/>
      <c r="D8" s="119"/>
      <c r="J8" s="57"/>
    </row>
    <row r="9" spans="1:10" s="1" customFormat="1" x14ac:dyDescent="0.35">
      <c r="A9" s="56"/>
      <c r="B9" s="132" t="s">
        <v>7</v>
      </c>
      <c r="C9" s="133"/>
      <c r="D9" s="133"/>
      <c r="E9" s="133"/>
      <c r="F9" s="133"/>
      <c r="G9" s="133"/>
      <c r="H9" s="133"/>
      <c r="I9" s="134"/>
      <c r="J9" s="57"/>
    </row>
    <row r="10" spans="1:10" s="1" customFormat="1" x14ac:dyDescent="0.35">
      <c r="A10" s="56"/>
      <c r="B10" s="15" t="s">
        <v>8</v>
      </c>
      <c r="C10" s="194" t="s">
        <v>186</v>
      </c>
      <c r="D10" s="194"/>
      <c r="E10" s="194"/>
      <c r="F10" s="194"/>
      <c r="G10" s="194"/>
      <c r="H10" s="194"/>
      <c r="I10" s="62"/>
      <c r="J10" s="57"/>
    </row>
    <row r="11" spans="1:10" s="1" customFormat="1" x14ac:dyDescent="0.35">
      <c r="A11" s="56"/>
      <c r="B11" s="15" t="s">
        <v>9</v>
      </c>
      <c r="C11" s="204" t="s">
        <v>187</v>
      </c>
      <c r="D11" s="204"/>
      <c r="E11" s="204"/>
      <c r="F11" s="204"/>
      <c r="G11" s="204"/>
      <c r="H11" s="204"/>
      <c r="I11" s="62"/>
      <c r="J11" s="57"/>
    </row>
    <row r="12" spans="1:10" s="1" customFormat="1" x14ac:dyDescent="0.35">
      <c r="A12" s="56"/>
      <c r="B12" s="18" t="s">
        <v>10</v>
      </c>
      <c r="C12" s="205" t="s">
        <v>188</v>
      </c>
      <c r="D12" s="205"/>
      <c r="E12" s="205"/>
      <c r="F12" s="205"/>
      <c r="G12" s="205"/>
      <c r="H12" s="205"/>
      <c r="I12" s="63"/>
      <c r="J12" s="57"/>
    </row>
    <row r="13" spans="1:10" ht="10" customHeight="1" thickBot="1" x14ac:dyDescent="0.4">
      <c r="A13" s="53"/>
      <c r="D13" s="64"/>
      <c r="J13" s="54"/>
    </row>
    <row r="14" spans="1:10" s="65" customFormat="1" ht="27" customHeight="1" thickTop="1" thickBot="1" x14ac:dyDescent="0.4">
      <c r="A14" s="135" t="s">
        <v>11</v>
      </c>
      <c r="B14" s="136"/>
      <c r="C14" s="136"/>
      <c r="D14" s="136"/>
      <c r="E14" s="136"/>
      <c r="F14" s="136"/>
      <c r="G14" s="136"/>
      <c r="H14" s="136"/>
      <c r="I14" s="136"/>
      <c r="J14" s="137"/>
    </row>
    <row r="15" spans="1:10" ht="10" customHeight="1" thickTop="1" x14ac:dyDescent="0.35">
      <c r="A15" s="53"/>
      <c r="D15" s="64"/>
      <c r="J15" s="54"/>
    </row>
    <row r="16" spans="1:10" ht="87" customHeight="1" x14ac:dyDescent="0.35">
      <c r="A16" s="53"/>
      <c r="B16" s="192" t="s">
        <v>216</v>
      </c>
      <c r="C16" s="188" t="s">
        <v>189</v>
      </c>
      <c r="D16" s="189"/>
      <c r="E16" s="189"/>
      <c r="F16" s="189"/>
      <c r="G16" s="189"/>
      <c r="H16" s="189"/>
      <c r="I16" s="190"/>
      <c r="J16" s="54"/>
    </row>
    <row r="17" spans="1:10" ht="5.5" customHeight="1" x14ac:dyDescent="0.35">
      <c r="A17" s="53"/>
      <c r="B17" s="151"/>
      <c r="C17" s="182"/>
      <c r="D17" s="183"/>
      <c r="E17" s="183"/>
      <c r="F17" s="183"/>
      <c r="G17" s="183"/>
      <c r="H17" s="183"/>
      <c r="I17" s="184"/>
      <c r="J17" s="54"/>
    </row>
    <row r="18" spans="1:10" ht="5.5" customHeight="1" x14ac:dyDescent="0.35">
      <c r="A18" s="53"/>
      <c r="B18" s="151"/>
      <c r="C18" s="182"/>
      <c r="D18" s="183"/>
      <c r="E18" s="183"/>
      <c r="F18" s="183"/>
      <c r="G18" s="183"/>
      <c r="H18" s="183"/>
      <c r="I18" s="184"/>
      <c r="J18" s="54"/>
    </row>
    <row r="19" spans="1:10" ht="5.5" customHeight="1" x14ac:dyDescent="0.35">
      <c r="A19" s="53"/>
      <c r="B19" s="151"/>
      <c r="C19" s="185"/>
      <c r="D19" s="186"/>
      <c r="E19" s="186"/>
      <c r="F19" s="186"/>
      <c r="G19" s="186"/>
      <c r="H19" s="186"/>
      <c r="I19" s="187"/>
      <c r="J19" s="54"/>
    </row>
    <row r="20" spans="1:10" ht="10" customHeight="1" x14ac:dyDescent="0.35">
      <c r="A20" s="53"/>
      <c r="B20" s="66"/>
      <c r="C20" s="67"/>
      <c r="D20" s="67"/>
      <c r="E20" s="67"/>
      <c r="F20" s="67"/>
      <c r="G20" s="67"/>
      <c r="H20" s="67"/>
      <c r="I20" s="87"/>
      <c r="J20" s="54"/>
    </row>
    <row r="21" spans="1:10" ht="133.5" customHeight="1" x14ac:dyDescent="0.35">
      <c r="A21" s="53"/>
      <c r="B21" s="191" t="s">
        <v>215</v>
      </c>
      <c r="C21" s="188" t="s">
        <v>222</v>
      </c>
      <c r="D21" s="189"/>
      <c r="E21" s="189"/>
      <c r="F21" s="189"/>
      <c r="G21" s="189"/>
      <c r="H21" s="189"/>
      <c r="I21" s="190"/>
      <c r="J21" s="54"/>
    </row>
    <row r="22" spans="1:10" ht="4.5" customHeight="1" x14ac:dyDescent="0.35">
      <c r="A22" s="53"/>
      <c r="B22" s="149"/>
      <c r="C22" s="182"/>
      <c r="D22" s="183"/>
      <c r="E22" s="183"/>
      <c r="F22" s="183"/>
      <c r="G22" s="183"/>
      <c r="H22" s="183"/>
      <c r="I22" s="184"/>
      <c r="J22" s="54"/>
    </row>
    <row r="23" spans="1:10" ht="4.5" customHeight="1" x14ac:dyDescent="0.35">
      <c r="A23" s="53"/>
      <c r="B23" s="149"/>
      <c r="C23" s="182"/>
      <c r="D23" s="183"/>
      <c r="E23" s="183"/>
      <c r="F23" s="183"/>
      <c r="G23" s="183"/>
      <c r="H23" s="183"/>
      <c r="I23" s="184"/>
      <c r="J23" s="54"/>
    </row>
    <row r="24" spans="1:10" ht="4.5" customHeight="1" x14ac:dyDescent="0.35">
      <c r="A24" s="53"/>
      <c r="B24" s="149"/>
      <c r="C24" s="182"/>
      <c r="D24" s="183"/>
      <c r="E24" s="183"/>
      <c r="F24" s="183"/>
      <c r="G24" s="183"/>
      <c r="H24" s="183"/>
      <c r="I24" s="184"/>
      <c r="J24" s="54"/>
    </row>
    <row r="25" spans="1:10" ht="5.25" customHeight="1" x14ac:dyDescent="0.35">
      <c r="A25" s="53"/>
      <c r="B25" s="149"/>
      <c r="C25" s="182"/>
      <c r="D25" s="183"/>
      <c r="E25" s="183"/>
      <c r="F25" s="183"/>
      <c r="G25" s="183"/>
      <c r="H25" s="183"/>
      <c r="I25" s="184"/>
      <c r="J25" s="54"/>
    </row>
    <row r="26" spans="1:10" ht="5.25" customHeight="1" x14ac:dyDescent="0.35">
      <c r="A26" s="53"/>
      <c r="B26" s="149"/>
      <c r="C26" s="182"/>
      <c r="D26" s="183"/>
      <c r="E26" s="183"/>
      <c r="F26" s="183"/>
      <c r="G26" s="183"/>
      <c r="H26" s="183"/>
      <c r="I26" s="184"/>
      <c r="J26" s="54"/>
    </row>
    <row r="27" spans="1:10" ht="5.25" customHeight="1" x14ac:dyDescent="0.35">
      <c r="A27" s="53"/>
      <c r="B27" s="150"/>
      <c r="C27" s="185"/>
      <c r="D27" s="186"/>
      <c r="E27" s="186"/>
      <c r="F27" s="186"/>
      <c r="G27" s="186"/>
      <c r="H27" s="186"/>
      <c r="I27" s="187"/>
      <c r="J27" s="54"/>
    </row>
    <row r="28" spans="1:10" ht="10" customHeight="1" x14ac:dyDescent="0.35">
      <c r="A28" s="53"/>
      <c r="D28" s="64"/>
      <c r="J28" s="54"/>
    </row>
    <row r="29" spans="1:10" s="1" customFormat="1" x14ac:dyDescent="0.35">
      <c r="A29" s="56"/>
      <c r="B29" s="132" t="s">
        <v>12</v>
      </c>
      <c r="C29" s="133"/>
      <c r="D29" s="133"/>
      <c r="E29" s="133"/>
      <c r="F29" s="133"/>
      <c r="G29" s="133"/>
      <c r="H29" s="133"/>
      <c r="I29" s="134"/>
      <c r="J29" s="57"/>
    </row>
    <row r="30" spans="1:10" ht="15" customHeight="1" x14ac:dyDescent="0.35">
      <c r="A30" s="53"/>
      <c r="B30" s="68"/>
      <c r="C30" s="138" t="s">
        <v>13</v>
      </c>
      <c r="D30" s="139"/>
      <c r="E30" s="139"/>
      <c r="F30" s="139"/>
      <c r="G30" s="140"/>
      <c r="H30" s="140"/>
      <c r="I30" s="152"/>
      <c r="J30" s="54"/>
    </row>
    <row r="31" spans="1:10" ht="15" customHeight="1" thickBot="1" x14ac:dyDescent="0.4">
      <c r="A31" s="53"/>
      <c r="B31" s="68"/>
      <c r="C31" s="138" t="s">
        <v>14</v>
      </c>
      <c r="D31" s="141"/>
      <c r="E31" s="138" t="s">
        <v>15</v>
      </c>
      <c r="F31" s="139"/>
      <c r="G31" s="139"/>
      <c r="H31" s="13"/>
      <c r="I31" s="153"/>
      <c r="J31" s="54"/>
    </row>
    <row r="32" spans="1:10" s="1" customFormat="1" ht="29" x14ac:dyDescent="0.35">
      <c r="A32" s="56"/>
      <c r="B32" s="10" t="s">
        <v>18</v>
      </c>
      <c r="C32" s="69" t="s">
        <v>19</v>
      </c>
      <c r="D32" s="4" t="s">
        <v>20</v>
      </c>
      <c r="E32" s="4" t="s">
        <v>21</v>
      </c>
      <c r="F32" s="4" t="s">
        <v>22</v>
      </c>
      <c r="G32" s="5" t="s">
        <v>23</v>
      </c>
      <c r="H32" s="124" t="s">
        <v>16</v>
      </c>
      <c r="I32" s="125"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211</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0</v>
      </c>
      <c r="D38" s="45">
        <f>SUM(D39:D42)</f>
        <v>0</v>
      </c>
      <c r="E38" s="45">
        <f>SUM(E39:E42)</f>
        <v>0</v>
      </c>
      <c r="F38" s="45">
        <f>SUM(F39:F42)</f>
        <v>0</v>
      </c>
      <c r="G38" s="46">
        <f>SUM(G39:G42)</f>
        <v>0</v>
      </c>
      <c r="H38" s="47">
        <f>SUM(C38:G38)</f>
        <v>0</v>
      </c>
      <c r="I38" s="7"/>
      <c r="J38" s="54"/>
    </row>
    <row r="39" spans="1:10" x14ac:dyDescent="0.35">
      <c r="A39" s="53"/>
      <c r="B39" s="8" t="s">
        <v>211</v>
      </c>
      <c r="C39" s="100"/>
      <c r="D39" s="101"/>
      <c r="E39" s="101"/>
      <c r="F39" s="101"/>
      <c r="G39" s="102"/>
      <c r="H39" s="9">
        <f>SUM(C39:G39)</f>
        <v>0</v>
      </c>
      <c r="I39" s="103"/>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SUM(C44:C53)</f>
        <v>13169694.949999999</v>
      </c>
      <c r="D43" s="45">
        <f>SUM(D44:D53)</f>
        <v>8964734.3000000007</v>
      </c>
      <c r="E43" s="45">
        <f>SUM(E44:E53)</f>
        <v>1643570.3399999999</v>
      </c>
      <c r="F43" s="45">
        <f>SUM(F44:F53)</f>
        <v>0</v>
      </c>
      <c r="G43" s="46">
        <f>SUM(G44:G53)</f>
        <v>0</v>
      </c>
      <c r="H43" s="47">
        <f>SUM(C43:G43)</f>
        <v>23777999.59</v>
      </c>
      <c r="I43" s="7"/>
      <c r="J43" s="54"/>
    </row>
    <row r="44" spans="1:10" x14ac:dyDescent="0.35">
      <c r="A44" s="53"/>
      <c r="B44" s="8" t="s">
        <v>190</v>
      </c>
      <c r="C44" s="100">
        <v>7972927</v>
      </c>
      <c r="D44" s="101">
        <v>6236627.5499999998</v>
      </c>
      <c r="E44" s="101">
        <v>174445.04</v>
      </c>
      <c r="F44" s="101"/>
      <c r="G44" s="102"/>
      <c r="H44" s="9">
        <f>SUM(C44:G44)</f>
        <v>14383999.59</v>
      </c>
      <c r="I44" s="162" t="s">
        <v>217</v>
      </c>
      <c r="J44" s="54"/>
    </row>
    <row r="45" spans="1:10" x14ac:dyDescent="0.35">
      <c r="A45" s="53"/>
      <c r="B45" s="8" t="s">
        <v>190</v>
      </c>
      <c r="C45" s="100">
        <v>500000</v>
      </c>
      <c r="D45" s="101"/>
      <c r="E45" s="101"/>
      <c r="F45" s="101"/>
      <c r="G45" s="102"/>
      <c r="H45" s="9">
        <f>SUM(C45:G45)</f>
        <v>500000</v>
      </c>
      <c r="I45" s="162" t="s">
        <v>193</v>
      </c>
      <c r="J45" s="54"/>
    </row>
    <row r="46" spans="1:10" x14ac:dyDescent="0.35">
      <c r="A46" s="53"/>
      <c r="B46" s="8" t="s">
        <v>190</v>
      </c>
      <c r="C46" s="100">
        <v>229000</v>
      </c>
      <c r="D46" s="101"/>
      <c r="E46" s="101"/>
      <c r="F46" s="101"/>
      <c r="G46" s="102"/>
      <c r="H46" s="9">
        <f t="shared" ref="H46:H53" si="2">SUM(C46:G46)</f>
        <v>229000</v>
      </c>
      <c r="I46" s="162" t="s">
        <v>208</v>
      </c>
      <c r="J46" s="54"/>
    </row>
    <row r="47" spans="1:10" x14ac:dyDescent="0.35">
      <c r="A47" s="53"/>
      <c r="B47" s="8" t="s">
        <v>190</v>
      </c>
      <c r="C47" s="100">
        <v>70000</v>
      </c>
      <c r="D47" s="101"/>
      <c r="E47" s="101"/>
      <c r="F47" s="101"/>
      <c r="G47" s="102"/>
      <c r="H47" s="9">
        <f t="shared" si="2"/>
        <v>70000</v>
      </c>
      <c r="I47" s="162" t="s">
        <v>209</v>
      </c>
      <c r="J47" s="54"/>
    </row>
    <row r="48" spans="1:10" x14ac:dyDescent="0.35">
      <c r="A48" s="53"/>
      <c r="B48" s="8" t="s">
        <v>190</v>
      </c>
      <c r="C48" s="100">
        <v>1231000</v>
      </c>
      <c r="D48" s="101"/>
      <c r="E48" s="101"/>
      <c r="F48" s="101"/>
      <c r="G48" s="102"/>
      <c r="H48" s="9">
        <f t="shared" si="2"/>
        <v>1231000</v>
      </c>
      <c r="I48" s="162" t="s">
        <v>210</v>
      </c>
      <c r="J48" s="54"/>
    </row>
    <row r="49" spans="1:10" x14ac:dyDescent="0.35">
      <c r="A49" s="53"/>
      <c r="B49" s="8" t="s">
        <v>190</v>
      </c>
      <c r="C49" s="100">
        <v>1164000</v>
      </c>
      <c r="D49" s="101"/>
      <c r="E49" s="101"/>
      <c r="F49" s="101"/>
      <c r="G49" s="102"/>
      <c r="H49" s="9">
        <f t="shared" si="2"/>
        <v>1164000</v>
      </c>
      <c r="I49" s="162" t="s">
        <v>194</v>
      </c>
      <c r="J49" s="54"/>
    </row>
    <row r="50" spans="1:10" x14ac:dyDescent="0.35">
      <c r="A50" s="53"/>
      <c r="B50" s="96" t="s">
        <v>191</v>
      </c>
      <c r="C50" s="100">
        <v>2002767.95</v>
      </c>
      <c r="D50" s="101">
        <v>2728106.75</v>
      </c>
      <c r="E50" s="101">
        <v>269125.3</v>
      </c>
      <c r="F50" s="101"/>
      <c r="G50" s="102"/>
      <c r="H50" s="9">
        <f t="shared" si="2"/>
        <v>5000000</v>
      </c>
      <c r="I50" s="162" t="s">
        <v>195</v>
      </c>
      <c r="J50" s="54"/>
    </row>
    <row r="51" spans="1:10" x14ac:dyDescent="0.35">
      <c r="A51" s="53"/>
      <c r="B51" s="96" t="s">
        <v>192</v>
      </c>
      <c r="C51" s="100">
        <v>0</v>
      </c>
      <c r="D51" s="101">
        <v>0</v>
      </c>
      <c r="E51" s="101">
        <v>1200000</v>
      </c>
      <c r="F51" s="101"/>
      <c r="G51" s="102"/>
      <c r="H51" s="9">
        <f t="shared" si="2"/>
        <v>1200000</v>
      </c>
      <c r="I51" s="162" t="s">
        <v>196</v>
      </c>
      <c r="J51" s="54"/>
    </row>
    <row r="52" spans="1:10" x14ac:dyDescent="0.35">
      <c r="A52" s="53"/>
      <c r="B52" s="96"/>
      <c r="C52" s="100"/>
      <c r="D52" s="101"/>
      <c r="E52" s="101"/>
      <c r="F52" s="101"/>
      <c r="G52" s="102"/>
      <c r="H52" s="9">
        <f t="shared" si="2"/>
        <v>0</v>
      </c>
      <c r="I52" s="162"/>
      <c r="J52" s="54"/>
    </row>
    <row r="53" spans="1:10" x14ac:dyDescent="0.35">
      <c r="A53" s="53"/>
      <c r="B53" s="95" t="s">
        <v>27</v>
      </c>
      <c r="C53" s="100"/>
      <c r="D53" s="101"/>
      <c r="E53" s="101"/>
      <c r="F53" s="101"/>
      <c r="G53" s="102"/>
      <c r="H53" s="9">
        <f t="shared" si="2"/>
        <v>0</v>
      </c>
      <c r="I53" s="103"/>
      <c r="J53" s="54"/>
    </row>
    <row r="54" spans="1:10" s="1" customFormat="1" ht="15" thickBot="1" x14ac:dyDescent="0.4">
      <c r="A54" s="56"/>
      <c r="B54" s="10" t="s">
        <v>30</v>
      </c>
      <c r="C54" s="48">
        <f>C33+C38+C43</f>
        <v>13169694.949999999</v>
      </c>
      <c r="D54" s="48">
        <f>D33+D38+D43</f>
        <v>8964734.3000000007</v>
      </c>
      <c r="E54" s="48">
        <f>E33+E38+E43</f>
        <v>1643570.3399999999</v>
      </c>
      <c r="F54" s="48">
        <f>F33+F38+F43</f>
        <v>0</v>
      </c>
      <c r="G54" s="49">
        <f>G33+G38+G43</f>
        <v>0</v>
      </c>
      <c r="H54" s="50">
        <f>SUM(C54:G54)</f>
        <v>23777999.59</v>
      </c>
      <c r="I54" s="7"/>
      <c r="J54" s="57"/>
    </row>
    <row r="55" spans="1:10" s="1" customFormat="1" ht="10" customHeight="1" x14ac:dyDescent="0.35">
      <c r="A55" s="56"/>
      <c r="C55" s="70"/>
      <c r="D55" s="70"/>
      <c r="J55" s="57"/>
    </row>
    <row r="56" spans="1:10" s="1" customFormat="1" x14ac:dyDescent="0.35">
      <c r="A56" s="56"/>
      <c r="B56" s="142" t="s">
        <v>31</v>
      </c>
      <c r="C56" s="143"/>
      <c r="D56" s="143"/>
      <c r="E56" s="143"/>
      <c r="F56" s="143"/>
      <c r="G56" s="143"/>
      <c r="H56" s="143"/>
      <c r="I56" s="144"/>
      <c r="J56" s="57"/>
    </row>
    <row r="57" spans="1:10" x14ac:dyDescent="0.35">
      <c r="A57" s="53"/>
      <c r="B57" s="71" t="s">
        <v>32</v>
      </c>
      <c r="C57" s="209" t="s">
        <v>113</v>
      </c>
      <c r="D57" s="209"/>
      <c r="E57" s="208" t="s">
        <v>33</v>
      </c>
      <c r="F57" s="208"/>
      <c r="G57" s="206" t="s">
        <v>92</v>
      </c>
      <c r="H57" s="206"/>
      <c r="I57" s="16"/>
      <c r="J57" s="54"/>
    </row>
    <row r="58" spans="1:10" x14ac:dyDescent="0.35">
      <c r="A58" s="53"/>
      <c r="B58" s="15" t="s">
        <v>212</v>
      </c>
      <c r="C58" s="210">
        <v>1</v>
      </c>
      <c r="D58" s="211"/>
      <c r="E58" t="s">
        <v>34</v>
      </c>
      <c r="G58" s="207" t="s">
        <v>91</v>
      </c>
      <c r="H58" s="207"/>
      <c r="I58" s="16"/>
      <c r="J58" s="54"/>
    </row>
    <row r="59" spans="1:10" x14ac:dyDescent="0.35">
      <c r="A59" s="53"/>
      <c r="B59" s="18" t="s">
        <v>35</v>
      </c>
      <c r="C59" s="207" t="s">
        <v>98</v>
      </c>
      <c r="D59" s="207"/>
      <c r="E59" s="19" t="s">
        <v>36</v>
      </c>
      <c r="F59" s="19"/>
      <c r="G59" s="207" t="s">
        <v>91</v>
      </c>
      <c r="H59" s="207"/>
      <c r="I59" s="20"/>
      <c r="J59" s="54"/>
    </row>
    <row r="60" spans="1:10" ht="10" customHeight="1" x14ac:dyDescent="0.35">
      <c r="A60" s="53"/>
      <c r="J60" s="54"/>
    </row>
    <row r="61" spans="1:10" x14ac:dyDescent="0.35">
      <c r="A61" s="53"/>
      <c r="B61" s="142" t="s">
        <v>37</v>
      </c>
      <c r="C61" s="143"/>
      <c r="D61" s="143"/>
      <c r="E61" s="143"/>
      <c r="F61" s="143"/>
      <c r="G61" s="143"/>
      <c r="H61" s="143"/>
      <c r="I61" s="144"/>
      <c r="J61" s="54"/>
    </row>
    <row r="62" spans="1:10" ht="75" customHeight="1" x14ac:dyDescent="0.35">
      <c r="A62" s="53"/>
      <c r="B62" s="148" t="s">
        <v>38</v>
      </c>
      <c r="C62" s="148"/>
      <c r="D62" s="148"/>
      <c r="E62" s="69" t="s">
        <v>39</v>
      </c>
      <c r="F62" s="69" t="s">
        <v>40</v>
      </c>
      <c r="G62" s="69" t="str">
        <f>IF(FCOR=TRUE, "Actuals at Final Completion", "Actuals to Date")</f>
        <v>Actuals to Date</v>
      </c>
      <c r="H62" s="88" t="s">
        <v>41</v>
      </c>
      <c r="I62" s="11" t="s">
        <v>17</v>
      </c>
      <c r="J62" s="54"/>
    </row>
    <row r="63" spans="1:10" x14ac:dyDescent="0.35">
      <c r="A63" s="53"/>
      <c r="B63" s="12" t="s">
        <v>42</v>
      </c>
      <c r="C63" s="13"/>
      <c r="D63" s="14"/>
      <c r="E63" s="104"/>
      <c r="F63" s="163">
        <v>68093</v>
      </c>
      <c r="G63" s="164">
        <v>68093</v>
      </c>
      <c r="H63" s="89">
        <f>IF($H$62=Lists!$D$8, IFERROR(F63-E63, ""), IF($H$62=Lists!$D$9, IFERROR(G63-E63, ""), IFERROR(G63-F63, "")))</f>
        <v>0</v>
      </c>
      <c r="I63" s="118"/>
      <c r="J63" s="54"/>
    </row>
    <row r="64" spans="1:10" x14ac:dyDescent="0.35">
      <c r="A64" s="53"/>
      <c r="B64" s="15" t="s">
        <v>43</v>
      </c>
      <c r="D64" s="16"/>
      <c r="E64" s="104"/>
      <c r="F64" s="163">
        <v>63258</v>
      </c>
      <c r="G64" s="164">
        <v>63258</v>
      </c>
      <c r="H64" s="89">
        <f>IF($H$62=Lists!$D$8, IFERROR(F64-E64, ""), IF($H$62=Lists!$D$9, IFERROR(G64-E64, ""), IFERROR(G64-F64, "")))</f>
        <v>0</v>
      </c>
      <c r="I64" s="118"/>
      <c r="J64" s="54"/>
    </row>
    <row r="65" spans="1:10" x14ac:dyDescent="0.35">
      <c r="A65" s="53"/>
      <c r="B65" s="15" t="s">
        <v>44</v>
      </c>
      <c r="D65" s="16"/>
      <c r="E65" s="17" t="str">
        <f>IFERROR(E64/E63, "")</f>
        <v/>
      </c>
      <c r="F65" s="17">
        <f t="shared" ref="F65:G65" si="3">IFERROR(F64/F63, "")</f>
        <v>0.92899416973844595</v>
      </c>
      <c r="G65" s="17">
        <f t="shared" si="3"/>
        <v>0.92899416973844595</v>
      </c>
      <c r="H65" s="90">
        <f t="shared" ref="H65" si="4">IFERROR(G65-F65, "")</f>
        <v>0</v>
      </c>
      <c r="I65" s="72"/>
      <c r="J65" s="54"/>
    </row>
    <row r="66" spans="1:10" x14ac:dyDescent="0.35">
      <c r="A66" s="53"/>
      <c r="B66" s="15" t="s">
        <v>45</v>
      </c>
      <c r="D66" s="16"/>
      <c r="E66" s="104"/>
      <c r="F66" s="104"/>
      <c r="G66" s="105"/>
      <c r="H66" s="91">
        <f>IF($H$62=Lists!$D$8, IFERROR(F66-E66, ""), IF($H$62=Lists!$D$9, IFERROR(G66-E66, ""), IFERROR(G66-F66, "")))</f>
        <v>0</v>
      </c>
      <c r="I66" s="118"/>
      <c r="J66" s="54"/>
    </row>
    <row r="67" spans="1:10" x14ac:dyDescent="0.35">
      <c r="A67" s="53"/>
      <c r="B67" s="18" t="s">
        <v>46</v>
      </c>
      <c r="C67" s="19"/>
      <c r="D67" s="20"/>
      <c r="E67" s="105"/>
      <c r="F67" s="105"/>
      <c r="G67" s="105"/>
      <c r="H67" s="91">
        <f>IF($H$62=Lists!$D$8, IFERROR(F67-E67, ""), IF($H$62=Lists!$D$9, IFERROR(G67-E67, ""), IFERROR(G67-F67, "")))</f>
        <v>0</v>
      </c>
      <c r="I67" s="117"/>
      <c r="J67" s="54"/>
    </row>
    <row r="68" spans="1:10" x14ac:dyDescent="0.35">
      <c r="A68" s="53"/>
      <c r="B68" s="15" t="s">
        <v>47</v>
      </c>
      <c r="E68" s="21" t="str">
        <f>IFERROR(E97/E63, "")</f>
        <v/>
      </c>
      <c r="F68" s="21">
        <f>IFERROR(F97/F63, "")</f>
        <v>175.42722453115593</v>
      </c>
      <c r="G68" s="21">
        <f>IFERROR(G97/G63, "")</f>
        <v>258.56026977809756</v>
      </c>
      <c r="H68" s="92">
        <f>IF($H$62=Lists!$D$8, IFERROR(F68-E68, ""), IF($H$62=Lists!$D$9, IFERROR(G68-E68, ""), IFERROR(G68-F68, "")))</f>
        <v>83.133045246941634</v>
      </c>
      <c r="I68" s="73"/>
      <c r="J68" s="54"/>
    </row>
    <row r="69" spans="1:10" x14ac:dyDescent="0.35">
      <c r="A69" s="53"/>
      <c r="B69" s="18" t="s">
        <v>48</v>
      </c>
      <c r="C69" s="19"/>
      <c r="D69" s="20"/>
      <c r="E69" s="22" t="str">
        <f>IFERROR(E103/E63, "")</f>
        <v/>
      </c>
      <c r="F69" s="22">
        <f>IFERROR(F103/F63, "")</f>
        <v>276.96175818366061</v>
      </c>
      <c r="G69" s="22">
        <f>IFERROR(G103/G63, "")</f>
        <v>294.16944340827985</v>
      </c>
      <c r="H69" s="92">
        <f>IF($H$62=Lists!$D$8, IFERROR(F69-E69, ""), IF($H$62=Lists!$D$9, IFERROR(G69-E69, ""), IFERROR(G69-F69, "")))</f>
        <v>17.20768522461924</v>
      </c>
      <c r="I69" s="74"/>
      <c r="J69" s="54"/>
    </row>
    <row r="70" spans="1:10" x14ac:dyDescent="0.35">
      <c r="A70" s="53"/>
      <c r="B70" s="145" t="s">
        <v>49</v>
      </c>
      <c r="C70" s="146"/>
      <c r="D70" s="146"/>
      <c r="E70" s="146"/>
      <c r="F70" s="146"/>
      <c r="G70" s="146"/>
      <c r="H70" s="146"/>
      <c r="I70" s="147"/>
      <c r="J70" s="54"/>
    </row>
    <row r="71" spans="1:10" x14ac:dyDescent="0.35">
      <c r="A71" s="53"/>
      <c r="B71" s="12" t="s">
        <v>50</v>
      </c>
      <c r="C71" s="13"/>
      <c r="D71" s="14"/>
      <c r="E71" s="106"/>
      <c r="F71" s="106"/>
      <c r="G71" s="107"/>
      <c r="H71" s="89" t="str">
        <f>IF(SUM(E71:G71)=0, "", IF($H$62=Lists!$D$8, IFERROR(MROUND(CONVERT(F71-E71,"day","yr")*12, 0.5)&amp;" mo.", ""), IF($H$62=Lists!$D$9, IFERROR(MROUND(CONVERT(G71-E71,"day","yr")*12, 0.5)&amp;" mo.", ""), IFERROR(MROUND(CONVERT(G71-F71,"day","yr")*12, 0.5)&amp;" mo.", ""))))</f>
        <v/>
      </c>
      <c r="I71" s="118"/>
      <c r="J71" s="54"/>
    </row>
    <row r="72" spans="1:10" x14ac:dyDescent="0.35">
      <c r="A72" s="53"/>
      <c r="B72" s="15" t="s">
        <v>51</v>
      </c>
      <c r="D72" s="16"/>
      <c r="E72" s="106"/>
      <c r="F72" s="165">
        <v>44986</v>
      </c>
      <c r="G72" s="166">
        <v>44986</v>
      </c>
      <c r="H72" s="89" t="str">
        <f>IF(SUM(E72:G72)=0, "", IF($H$62=Lists!$D$8, IFERROR(MROUND(CONVERT(F72-E72,"day","yr")*12, 0.5)&amp;" mo.", ""), IF($H$62=Lists!$D$9, IFERROR(MROUND(CONVERT(G72-E72,"day","yr")*12, 0.5)&amp;" mo.", ""), IFERROR(MROUND(CONVERT(G72-F72,"day","yr")*12, 0.5)&amp;" mo.", ""))))</f>
        <v>0 mo.</v>
      </c>
      <c r="I72" s="118"/>
      <c r="J72" s="54"/>
    </row>
    <row r="73" spans="1:10" x14ac:dyDescent="0.35">
      <c r="A73" s="53"/>
      <c r="B73" s="15" t="s">
        <v>52</v>
      </c>
      <c r="D73" s="16"/>
      <c r="E73" s="106"/>
      <c r="F73" s="165">
        <v>45444</v>
      </c>
      <c r="G73" s="166">
        <v>45444</v>
      </c>
      <c r="H73" s="89" t="str">
        <f>IF(SUM(E73:G73)=0, "", IF($H$62=Lists!$D$8, IFERROR(MROUND(CONVERT(F73-E73,"day","yr")*12, 0.5)&amp;" mo.", ""), IF($H$62=Lists!$D$9, IFERROR(MROUND(CONVERT(G73-E73,"day","yr")*12, 0.5)&amp;" mo.", ""), IFERROR(MROUND(CONVERT(G73-F73,"day","yr")*12, 0.5)&amp;" mo.", ""))))</f>
        <v>0 mo.</v>
      </c>
      <c r="I73" s="118"/>
      <c r="J73" s="54"/>
    </row>
    <row r="74" spans="1:10" x14ac:dyDescent="0.35">
      <c r="A74" s="53"/>
      <c r="B74" s="15" t="s">
        <v>53</v>
      </c>
      <c r="D74" s="16"/>
      <c r="E74" s="106"/>
      <c r="F74" s="165">
        <v>45474</v>
      </c>
      <c r="G74" s="166">
        <v>45474</v>
      </c>
      <c r="H74" s="89" t="str">
        <f>IF(SUM(E74:G74)=0, "", IF($H$62=Lists!$D$8, IFERROR(MROUND(CONVERT(F74-E74,"day","yr")*12, 0.5)&amp;" mo.", ""), IF($H$62=Lists!$D$9, IFERROR(MROUND(CONVERT(G74-E74,"day","yr")*12, 0.5)&amp;" mo.", ""), IFERROR(MROUND(CONVERT(G74-F74,"day","yr")*12, 0.5)&amp;" mo.", ""))))</f>
        <v>0 mo.</v>
      </c>
      <c r="I74" s="118"/>
      <c r="J74" s="54"/>
    </row>
    <row r="75" spans="1:10" x14ac:dyDescent="0.35">
      <c r="A75" s="53"/>
      <c r="B75" s="15" t="s">
        <v>54</v>
      </c>
      <c r="D75" s="16"/>
      <c r="E75" s="106"/>
      <c r="F75" s="165">
        <v>46174</v>
      </c>
      <c r="G75" s="166">
        <v>46163</v>
      </c>
      <c r="H75" s="89" t="str">
        <f>IF(SUM(E75:G75)=0, "", IF($H$62=Lists!$D$8, IFERROR(MROUND(CONVERT(F75-E75,"day","yr")*12, 0.5)&amp;" mo.", ""), IF($H$62=Lists!$D$9, IFERROR(MROUND(CONVERT(G75-E75,"day","yr")*12, 0.5)&amp;" mo.", ""), IFERROR(MROUND(CONVERT(G75-F75,"day","yr")*12, 0.5)&amp;" mo.", ""))))</f>
        <v/>
      </c>
      <c r="I75" s="118"/>
      <c r="J75" s="54"/>
    </row>
    <row r="76" spans="1:10" x14ac:dyDescent="0.35">
      <c r="A76" s="53"/>
      <c r="B76" s="18" t="s">
        <v>55</v>
      </c>
      <c r="C76" s="19"/>
      <c r="D76" s="20"/>
      <c r="E76" s="106"/>
      <c r="F76" s="106"/>
      <c r="G76" s="107"/>
      <c r="H76" s="89" t="str">
        <f>IF(SUM(E76:G76)=0, "", IF($H$62=Lists!$D$8, IFERROR(MROUND(CONVERT(F76-E76,"day","yr")*12, 0.5)&amp;" mo.", ""), IF($H$62=Lists!$D$9, IFERROR(MROUND(CONVERT(G76-E76,"day","yr")*12, 0.5)&amp;" mo.", ""), IFERROR(MROUND(CONVERT(G76-F76,"day","yr")*12, 0.5)&amp;" mo.", ""))))</f>
        <v/>
      </c>
      <c r="I76" s="118"/>
      <c r="J76" s="54"/>
    </row>
    <row r="77" spans="1:10" ht="10" customHeight="1" thickBot="1" x14ac:dyDescent="0.4">
      <c r="A77" s="75"/>
      <c r="B77" s="23"/>
      <c r="C77" s="23"/>
      <c r="D77" s="23"/>
      <c r="E77" s="24"/>
      <c r="F77" s="24"/>
      <c r="G77" s="24"/>
      <c r="H77" s="25"/>
      <c r="I77" s="76"/>
      <c r="J77" s="77"/>
    </row>
    <row r="78" spans="1:10" s="65" customFormat="1" ht="27" customHeight="1" thickTop="1" thickBot="1" x14ac:dyDescent="0.4">
      <c r="A78" s="135" t="s">
        <v>56</v>
      </c>
      <c r="B78" s="136"/>
      <c r="C78" s="136"/>
      <c r="D78" s="136"/>
      <c r="E78" s="136"/>
      <c r="F78" s="136"/>
      <c r="G78" s="136"/>
      <c r="H78" s="136"/>
      <c r="I78" s="136"/>
      <c r="J78" s="137"/>
    </row>
    <row r="79" spans="1:10" ht="10" customHeight="1" thickTop="1" x14ac:dyDescent="0.35">
      <c r="A79" s="53"/>
      <c r="B79" s="120"/>
      <c r="C79" s="120"/>
      <c r="D79" s="120"/>
      <c r="E79" s="26"/>
      <c r="F79" s="26"/>
      <c r="G79" s="26"/>
      <c r="H79" s="27"/>
      <c r="I79" s="78"/>
      <c r="J79" s="54"/>
    </row>
    <row r="80" spans="1:10" ht="75" customHeight="1" x14ac:dyDescent="0.35">
      <c r="A80" s="53"/>
      <c r="B80" s="148" t="s">
        <v>38</v>
      </c>
      <c r="C80" s="148"/>
      <c r="D80" s="148"/>
      <c r="E80" s="69" t="s">
        <v>57</v>
      </c>
      <c r="F80" s="69" t="s">
        <v>58</v>
      </c>
      <c r="G80" s="69" t="str">
        <f>IF(FCOR=TRUE, "Actual Cost Data at Final Completion", "Actual Costs to Date")</f>
        <v>Actual Costs to Date</v>
      </c>
      <c r="H80" s="69" t="str">
        <f>H62</f>
        <v>Estimate as Currently Funded to Actuals Variance</v>
      </c>
      <c r="I80" s="11" t="s">
        <v>17</v>
      </c>
      <c r="J80" s="54"/>
    </row>
    <row r="81" spans="1:11" x14ac:dyDescent="0.35">
      <c r="A81" s="53"/>
      <c r="B81" s="142" t="s">
        <v>59</v>
      </c>
      <c r="C81" s="143"/>
      <c r="D81" s="143"/>
      <c r="E81" s="143"/>
      <c r="F81" s="143"/>
      <c r="G81" s="143"/>
      <c r="H81" s="143"/>
      <c r="I81" s="144"/>
      <c r="J81" s="54"/>
    </row>
    <row r="82" spans="1:11" x14ac:dyDescent="0.35">
      <c r="A82" s="53"/>
      <c r="B82" s="157"/>
      <c r="C82" s="154"/>
      <c r="D82" s="126" t="s">
        <v>60</v>
      </c>
      <c r="E82" s="108"/>
      <c r="F82" s="108"/>
      <c r="G82" s="108"/>
      <c r="H82" s="93">
        <f>IF($H$62=Lists!$D$8, IFERROR(F82-E82, ""), IF($H$62=Lists!$D$9, IFERROR(G82-E82, ""), IFERROR(G82-F82, "")))</f>
        <v>0</v>
      </c>
      <c r="I82" s="118"/>
      <c r="J82" s="54"/>
    </row>
    <row r="83" spans="1:11" ht="10" customHeight="1" x14ac:dyDescent="0.35">
      <c r="A83" s="53"/>
      <c r="B83" s="115"/>
      <c r="C83" s="115"/>
      <c r="D83" s="115"/>
      <c r="E83" s="28"/>
      <c r="F83" s="28"/>
      <c r="G83" s="28"/>
      <c r="H83" s="29"/>
      <c r="I83" s="79"/>
      <c r="J83" s="54"/>
    </row>
    <row r="84" spans="1:11" x14ac:dyDescent="0.35">
      <c r="A84" s="53"/>
      <c r="B84" s="142" t="s">
        <v>61</v>
      </c>
      <c r="C84" s="143"/>
      <c r="D84" s="143"/>
      <c r="E84" s="143"/>
      <c r="F84" s="143"/>
      <c r="G84" s="143"/>
      <c r="H84" s="143"/>
      <c r="I84" s="144"/>
      <c r="J84" s="54"/>
    </row>
    <row r="85" spans="1:11" x14ac:dyDescent="0.35">
      <c r="A85" s="53"/>
      <c r="B85" s="12" t="s">
        <v>62</v>
      </c>
      <c r="C85" s="13"/>
      <c r="D85" s="14"/>
      <c r="E85" s="109"/>
      <c r="F85" s="167">
        <v>15030</v>
      </c>
      <c r="G85" s="168">
        <v>6500</v>
      </c>
      <c r="H85" s="30">
        <f>IF($H$62=Lists!$D$8, IFERROR(F85-E85, ""), IF($H$62=Lists!$D$9, IFERROR(G85-E85, ""), IFERROR(G85-F85, "")))</f>
        <v>-8530</v>
      </c>
      <c r="I85" s="161" t="s">
        <v>197</v>
      </c>
      <c r="J85" s="54"/>
      <c r="K85" t="s">
        <v>200</v>
      </c>
    </row>
    <row r="86" spans="1:11" x14ac:dyDescent="0.35">
      <c r="A86" s="53"/>
      <c r="B86" s="15" t="s">
        <v>63</v>
      </c>
      <c r="D86" s="16"/>
      <c r="E86" s="109"/>
      <c r="F86" s="167">
        <v>1249317</v>
      </c>
      <c r="G86" s="168">
        <v>567440.96</v>
      </c>
      <c r="H86" s="30">
        <f>IF($H$62=Lists!$D$8, IFERROR(F86-E86, ""), IF($H$62=Lists!$D$9, IFERROR(G86-E86, ""), IFERROR(G86-F86, "")))</f>
        <v>-681876.04</v>
      </c>
      <c r="I86" s="161" t="s">
        <v>198</v>
      </c>
      <c r="J86" s="54"/>
      <c r="K86" t="s">
        <v>201</v>
      </c>
    </row>
    <row r="87" spans="1:11" x14ac:dyDescent="0.35">
      <c r="A87" s="53"/>
      <c r="B87" s="15" t="s">
        <v>64</v>
      </c>
      <c r="D87" s="16"/>
      <c r="E87" s="109"/>
      <c r="F87" s="167">
        <v>712505</v>
      </c>
      <c r="G87" s="168">
        <v>328803.65000000002</v>
      </c>
      <c r="H87" s="30">
        <f>IF($H$62=Lists!$D$8, IFERROR(F87-E87, ""), IF($H$62=Lists!$D$9, IFERROR(G87-E87, ""), IFERROR(G87-F87, "")))</f>
        <v>-383701.35</v>
      </c>
      <c r="I87" s="161" t="s">
        <v>199</v>
      </c>
      <c r="J87" s="54"/>
      <c r="K87" t="s">
        <v>202</v>
      </c>
    </row>
    <row r="88" spans="1:11" x14ac:dyDescent="0.35">
      <c r="A88" s="53"/>
      <c r="B88" s="15" t="s">
        <v>65</v>
      </c>
      <c r="D88" s="16"/>
      <c r="E88" s="109"/>
      <c r="F88" s="167">
        <f>451291*1.0526</f>
        <v>475028.90659999999</v>
      </c>
      <c r="G88" s="167">
        <v>512956.72</v>
      </c>
      <c r="H88" s="30">
        <f>IF($H$62=Lists!$D$8, IFERROR(F88-E88, ""), IF($H$62=Lists!$D$9, IFERROR(G88-E88, ""), IFERROR(G88-F88, "")))</f>
        <v>37927.813399999985</v>
      </c>
      <c r="I88" s="161" t="s">
        <v>198</v>
      </c>
      <c r="J88" s="54"/>
      <c r="K88" t="s">
        <v>203</v>
      </c>
    </row>
    <row r="89" spans="1:11" x14ac:dyDescent="0.35">
      <c r="A89" s="53"/>
      <c r="B89" s="15" t="s">
        <v>66</v>
      </c>
      <c r="D89" s="16"/>
      <c r="E89" s="109"/>
      <c r="F89" s="167">
        <f>701338-F88</f>
        <v>226309.09340000001</v>
      </c>
      <c r="G89" s="167">
        <v>25380.5</v>
      </c>
      <c r="H89" s="31">
        <f>IF($H$62=Lists!$D$8, IFERROR(F89-E89, ""), IF($H$62=Lists!$D$9, IFERROR(G89-E89, ""), IFERROR(G89-F89, "")))</f>
        <v>-200928.59340000001</v>
      </c>
      <c r="I89" s="118"/>
      <c r="J89" s="54"/>
      <c r="K89" t="s">
        <v>213</v>
      </c>
    </row>
    <row r="90" spans="1:11" x14ac:dyDescent="0.35">
      <c r="A90" s="53"/>
      <c r="B90" s="15" t="s">
        <v>67</v>
      </c>
      <c r="D90" s="16"/>
      <c r="E90" s="109"/>
      <c r="F90" s="167">
        <v>139109</v>
      </c>
      <c r="G90" s="168"/>
      <c r="H90" s="30">
        <f>IF($H$62=Lists!$D$8, IFERROR(F90-E90, ""), IF($H$62=Lists!$D$9, IFERROR(G90-E90, ""), IFERROR(G90-F90, "")))</f>
        <v>-139109</v>
      </c>
      <c r="I90" s="111"/>
      <c r="J90" s="54"/>
    </row>
    <row r="91" spans="1:11" x14ac:dyDescent="0.35">
      <c r="A91" s="53"/>
      <c r="B91" s="18"/>
      <c r="C91" s="156"/>
      <c r="D91" s="127" t="s">
        <v>68</v>
      </c>
      <c r="E91" s="32">
        <f>SUM(E85:E90)</f>
        <v>0</v>
      </c>
      <c r="F91" s="32">
        <f>SUM(F85:F90)</f>
        <v>2817299</v>
      </c>
      <c r="G91" s="32">
        <f>SUM(G85:G90)</f>
        <v>1441081.83</v>
      </c>
      <c r="H91" s="33">
        <f>IF($H$62=Lists!$D$8, IFERROR(F91-E91, ""), IF($H$62=Lists!$D$9, IFERROR(G91-E91, ""), IFERROR(G91-F91, "")))</f>
        <v>-1376217.17</v>
      </c>
      <c r="I91" s="80"/>
      <c r="J91" s="54"/>
    </row>
    <row r="92" spans="1:11" ht="10" customHeight="1" x14ac:dyDescent="0.35">
      <c r="A92" s="53"/>
      <c r="J92" s="54"/>
    </row>
    <row r="93" spans="1:11" x14ac:dyDescent="0.35">
      <c r="A93" s="53"/>
      <c r="B93" s="142" t="s">
        <v>69</v>
      </c>
      <c r="C93" s="143"/>
      <c r="D93" s="143"/>
      <c r="E93" s="143"/>
      <c r="F93" s="143"/>
      <c r="G93" s="143"/>
      <c r="H93" s="143"/>
      <c r="I93" s="144"/>
      <c r="J93" s="54"/>
    </row>
    <row r="94" spans="1:11" ht="14.5" customHeight="1" x14ac:dyDescent="0.35">
      <c r="A94" s="53"/>
      <c r="B94" s="12" t="s">
        <v>70</v>
      </c>
      <c r="C94" s="13"/>
      <c r="D94" s="14"/>
      <c r="E94" s="109"/>
      <c r="F94" s="109"/>
      <c r="G94" s="110"/>
      <c r="H94" s="34">
        <f>IF($H$62=Lists!$D$8, IFERROR(F94-E94, ""), IF($H$62=Lists!$D$9, IFERROR(G94-E94, ""), IFERROR(G94-F94, "")))</f>
        <v>0</v>
      </c>
      <c r="I94" s="118"/>
      <c r="J94" s="54"/>
    </row>
    <row r="95" spans="1:11" x14ac:dyDescent="0.35">
      <c r="A95" s="53"/>
      <c r="B95" s="15" t="s">
        <v>71</v>
      </c>
      <c r="D95" s="16"/>
      <c r="E95" s="109"/>
      <c r="F95" s="109"/>
      <c r="G95" s="110"/>
      <c r="H95" s="34">
        <f>IF($H$62=Lists!$D$8, IFERROR(F95-E95, ""), IF($H$62=Lists!$D$9, IFERROR(G95-E95, ""), IFERROR(G95-F95, "")))</f>
        <v>0</v>
      </c>
      <c r="I95" s="111"/>
      <c r="J95" s="54"/>
    </row>
    <row r="96" spans="1:11" x14ac:dyDescent="0.35">
      <c r="A96" s="53"/>
      <c r="B96" s="15" t="s">
        <v>72</v>
      </c>
      <c r="D96" s="16"/>
      <c r="E96" s="109"/>
      <c r="F96" s="167">
        <v>11945366</v>
      </c>
      <c r="G96" s="167">
        <f>18441941.45-835797</f>
        <v>17606144.449999999</v>
      </c>
      <c r="H96" s="35">
        <f>IF($H$62=Lists!$D$8, IFERROR(F96-E96, ""), IF($H$62=Lists!$D$9, IFERROR(G96-E96, ""), IFERROR(G96-F96, "")))</f>
        <v>5660778.4499999993</v>
      </c>
      <c r="I96" s="169" t="s">
        <v>204</v>
      </c>
      <c r="J96" s="54"/>
      <c r="K96" s="170" t="s">
        <v>220</v>
      </c>
    </row>
    <row r="97" spans="1:11" x14ac:dyDescent="0.35">
      <c r="A97" s="53"/>
      <c r="B97" s="38"/>
      <c r="C97" s="1"/>
      <c r="D97" s="158" t="s">
        <v>73</v>
      </c>
      <c r="E97" s="159">
        <f>SUM(E94:E96)</f>
        <v>0</v>
      </c>
      <c r="F97" s="36">
        <f t="shared" ref="F97:G97" si="5">SUM(F94:F96)</f>
        <v>11945366</v>
      </c>
      <c r="G97" s="36">
        <f t="shared" si="5"/>
        <v>17606144.449999999</v>
      </c>
      <c r="H97" s="34">
        <f>IF($H$62=Lists!$D$8, IFERROR(F97-E97, ""), IF($H$62=Lists!$D$9, IFERROR(G97-E97, ""), IFERROR(G97-F97, "")))</f>
        <v>5660778.4499999993</v>
      </c>
      <c r="I97" s="80"/>
      <c r="J97" s="54"/>
    </row>
    <row r="98" spans="1:11" x14ac:dyDescent="0.35">
      <c r="A98" s="53"/>
      <c r="B98" s="15" t="s">
        <v>74</v>
      </c>
      <c r="D98" s="16"/>
      <c r="E98" s="109"/>
      <c r="F98" s="167">
        <v>2389074</v>
      </c>
      <c r="G98" s="168"/>
      <c r="H98" s="34">
        <f>IF($H$62=Lists!$D$8, IFERROR(F98-E98, ""), IF($H$62=Lists!$D$9, IFERROR(G98-E98, ""), IFERROR(G98-F98, "")))</f>
        <v>-2389074</v>
      </c>
      <c r="I98" s="111"/>
      <c r="J98" s="54"/>
    </row>
    <row r="99" spans="1:11" x14ac:dyDescent="0.35">
      <c r="A99" s="53"/>
      <c r="B99" s="15" t="s">
        <v>75</v>
      </c>
      <c r="D99" s="16"/>
      <c r="E99" s="109"/>
      <c r="F99" s="167"/>
      <c r="G99" s="167"/>
      <c r="H99" s="34">
        <f>IF($H$62=Lists!$D$8, IFERROR(F99-E99, ""), IF($H$62=Lists!$D$9, IFERROR(G99-E99, ""), IFERROR(G99-F99, "")))</f>
        <v>0</v>
      </c>
      <c r="I99" s="111"/>
      <c r="J99" s="54"/>
    </row>
    <row r="100" spans="1:11" x14ac:dyDescent="0.35">
      <c r="A100" s="53"/>
      <c r="B100" s="15" t="s">
        <v>76</v>
      </c>
      <c r="D100" s="16"/>
      <c r="E100" s="109"/>
      <c r="F100" s="167">
        <v>1525373</v>
      </c>
      <c r="G100" s="167">
        <v>1722401.46</v>
      </c>
      <c r="H100" s="34">
        <f>IF($H$62=Lists!$D$8, IFERROR(F100-E100, ""), IF($H$62=Lists!$D$9, IFERROR(G100-E100, ""), IFERROR(G100-F100, "")))</f>
        <v>197028.45999999996</v>
      </c>
      <c r="I100" s="169" t="s">
        <v>205</v>
      </c>
      <c r="J100" s="54"/>
      <c r="K100" s="170" t="s">
        <v>220</v>
      </c>
    </row>
    <row r="101" spans="1:11" x14ac:dyDescent="0.35">
      <c r="A101" s="53"/>
      <c r="B101" s="15" t="str">
        <f>IF(C59=Lists!J3, "GCCM Costs", IF(C59=Lists!J4, "Design-Build Costs", ""))</f>
        <v>GCCM Costs</v>
      </c>
      <c r="D101" s="16"/>
      <c r="E101" s="109"/>
      <c r="F101" s="167">
        <v>2402075</v>
      </c>
      <c r="G101" s="167">
        <v>702334</v>
      </c>
      <c r="H101" s="34">
        <f>IF($H$62=Lists!$D$8, IFERROR(F101-E101, ""), IF($H$62=Lists!$D$9, IFERROR(G101-E101, ""), IFERROR(G101-F101, "")))</f>
        <v>-1699741</v>
      </c>
      <c r="I101" s="169" t="s">
        <v>206</v>
      </c>
      <c r="J101" s="54"/>
      <c r="K101" t="s">
        <v>219</v>
      </c>
    </row>
    <row r="102" spans="1:11" x14ac:dyDescent="0.35">
      <c r="A102" s="53"/>
      <c r="B102" s="15" t="str">
        <f>IF(C59=Lists!J3, "GCCM Risk Contingency", "")</f>
        <v>GCCM Risk Contingency</v>
      </c>
      <c r="D102" s="16"/>
      <c r="E102" s="109"/>
      <c r="F102" s="167">
        <v>597269</v>
      </c>
      <c r="G102" s="167"/>
      <c r="H102" s="34">
        <f>IF($H$62=Lists!$D$8, IFERROR(F102-E102, ""), IF($H$62=Lists!$D$9, IFERROR(G102-E102, ""), IFERROR(G102-F102, "")))</f>
        <v>-597269</v>
      </c>
      <c r="I102" s="111"/>
      <c r="J102" s="54"/>
    </row>
    <row r="103" spans="1:11" x14ac:dyDescent="0.35">
      <c r="A103" s="53"/>
      <c r="B103" s="155"/>
      <c r="C103" s="156"/>
      <c r="D103" s="127" t="s">
        <v>77</v>
      </c>
      <c r="E103" s="159">
        <f>SUM(E97:E102)</f>
        <v>0</v>
      </c>
      <c r="F103" s="36">
        <f t="shared" ref="F103:G103" si="6">SUM(F97:F102)</f>
        <v>18859157</v>
      </c>
      <c r="G103" s="36">
        <f t="shared" si="6"/>
        <v>20030879.91</v>
      </c>
      <c r="H103" s="37">
        <f>IF($H$62=Lists!$D$8, IFERROR(F103-E103, ""), IF($H$62=Lists!$D$9, IFERROR(G103-E103, ""), IFERROR(G103-F103, "")))</f>
        <v>1171722.9100000001</v>
      </c>
      <c r="I103" s="72"/>
      <c r="J103" s="54"/>
    </row>
    <row r="104" spans="1:11" ht="10" customHeight="1" x14ac:dyDescent="0.35">
      <c r="A104" s="53"/>
      <c r="J104" s="54"/>
    </row>
    <row r="105" spans="1:11" x14ac:dyDescent="0.35">
      <c r="A105" s="53"/>
      <c r="B105" s="142" t="s">
        <v>78</v>
      </c>
      <c r="C105" s="143"/>
      <c r="D105" s="143"/>
      <c r="E105" s="143"/>
      <c r="F105" s="143"/>
      <c r="G105" s="143"/>
      <c r="H105" s="143"/>
      <c r="I105" s="144"/>
      <c r="J105" s="54"/>
    </row>
    <row r="106" spans="1:11" x14ac:dyDescent="0.35">
      <c r="A106" s="53"/>
      <c r="B106" s="38" t="s">
        <v>79</v>
      </c>
      <c r="D106" s="16"/>
      <c r="E106" s="112"/>
      <c r="F106" s="171">
        <v>883199</v>
      </c>
      <c r="G106" s="172">
        <v>643830.30000000005</v>
      </c>
      <c r="H106" s="39">
        <f>IF($H$62=Lists!$D$8, IFERROR(F106-E106, ""), IF($H$62=Lists!$D$9, IFERROR(G106-E106, ""), IFERROR(G106-F106, "")))</f>
        <v>-239368.69999999995</v>
      </c>
      <c r="I106" s="173" t="s">
        <v>207</v>
      </c>
      <c r="J106" s="81"/>
      <c r="K106" t="s">
        <v>214</v>
      </c>
    </row>
    <row r="107" spans="1:11" x14ac:dyDescent="0.35">
      <c r="A107" s="53"/>
      <c r="B107" s="38" t="s">
        <v>80</v>
      </c>
      <c r="D107" s="16"/>
      <c r="E107" s="112"/>
      <c r="F107" s="171">
        <v>106912</v>
      </c>
      <c r="G107" s="172">
        <v>18636.8</v>
      </c>
      <c r="H107" s="39">
        <f>IF($H$62=Lists!$D$8, IFERROR(F107-E107, ""), IF($H$62=Lists!$D$9, IFERROR(G107-E107, ""), IFERROR(G107-F107, "")))</f>
        <v>-88275.199999999997</v>
      </c>
      <c r="I107" s="114"/>
      <c r="J107" s="81"/>
    </row>
    <row r="108" spans="1:11" x14ac:dyDescent="0.35">
      <c r="A108" s="53"/>
      <c r="B108" s="38" t="s">
        <v>81</v>
      </c>
      <c r="D108" s="16"/>
      <c r="E108" s="109"/>
      <c r="F108" s="167">
        <v>22737</v>
      </c>
      <c r="G108" s="168"/>
      <c r="H108" s="40">
        <f>IF($H$62=Lists!$D$8, IFERROR(F108-E108, ""), IF($H$62=Lists!$D$9, IFERROR(G108-E108, ""), IFERROR(G108-F108, "")))</f>
        <v>-22737</v>
      </c>
      <c r="I108" s="118"/>
      <c r="J108" s="54"/>
    </row>
    <row r="109" spans="1:11" x14ac:dyDescent="0.35">
      <c r="A109" s="53"/>
      <c r="B109" s="38" t="s">
        <v>82</v>
      </c>
      <c r="D109" s="16"/>
      <c r="E109" s="109"/>
      <c r="F109" s="109"/>
      <c r="G109" s="113"/>
      <c r="H109" s="41">
        <f>IF($H$62=Lists!$D$8, IFERROR(F109-E109, ""), IF($H$62=Lists!$D$9, IFERROR(G109-E109, ""), IFERROR(G109-F109, "")))</f>
        <v>0</v>
      </c>
      <c r="I109" s="114"/>
      <c r="J109" s="81"/>
    </row>
    <row r="110" spans="1:11" ht="15" thickBot="1" x14ac:dyDescent="0.4">
      <c r="A110" s="53"/>
      <c r="B110" s="160"/>
      <c r="C110" s="60"/>
      <c r="D110" s="128" t="s">
        <v>83</v>
      </c>
      <c r="E110" s="42">
        <f>SUM(E106:E109)</f>
        <v>0</v>
      </c>
      <c r="F110" s="42">
        <f>SUM(F106:F109)</f>
        <v>1012848</v>
      </c>
      <c r="G110" s="42">
        <f>SUM(G106:G109)</f>
        <v>662467.10000000009</v>
      </c>
      <c r="H110" s="37">
        <f>IF($H$62=Lists!$D$8, IFERROR(F110-E110, ""), IF($H$62=Lists!$D$9, IFERROR(G110-E110, ""), IFERROR(G110-F110, "")))</f>
        <v>-350380.89999999991</v>
      </c>
      <c r="I110" s="82"/>
      <c r="J110" s="81"/>
    </row>
    <row r="111" spans="1:11" ht="19.5" thickTop="1" thickBot="1" x14ac:dyDescent="0.5">
      <c r="A111" s="53"/>
      <c r="B111" s="83" t="s">
        <v>84</v>
      </c>
      <c r="C111" s="84"/>
      <c r="D111" s="84"/>
      <c r="E111" s="85">
        <f>SUM(E82,E91,E103,E110)</f>
        <v>0</v>
      </c>
      <c r="F111" s="85">
        <f>SUM(F82,F91,F103,F110)</f>
        <v>22689304</v>
      </c>
      <c r="G111" s="85">
        <f>SUM(G82,G91,G103,G110)</f>
        <v>22134428.840000004</v>
      </c>
      <c r="H111" s="85">
        <f>SUM(H82,H91,H103,H110)</f>
        <v>-554875.15999999968</v>
      </c>
      <c r="I111" s="86"/>
      <c r="J111" s="81"/>
    </row>
    <row r="112" spans="1:11" ht="10" customHeight="1" thickTop="1" x14ac:dyDescent="0.35">
      <c r="A112" s="53"/>
      <c r="B112" s="119"/>
      <c r="C112" s="119"/>
      <c r="D112" s="119"/>
      <c r="E112" s="43"/>
      <c r="F112" s="43"/>
      <c r="G112" s="43"/>
      <c r="H112" s="43"/>
      <c r="I112" s="116"/>
      <c r="J112" s="81"/>
    </row>
    <row r="113" spans="1:10" s="1" customFormat="1" x14ac:dyDescent="0.35">
      <c r="A113" s="56"/>
      <c r="B113" s="199" t="str">
        <f>IF(ReportType=Lists!$O$2, "", "Close-Out Information")</f>
        <v/>
      </c>
      <c r="C113" s="200"/>
      <c r="D113" s="200"/>
      <c r="E113" s="200"/>
      <c r="F113" s="200"/>
      <c r="G113" s="200"/>
      <c r="H113" s="200"/>
      <c r="I113" s="201"/>
      <c r="J113" s="57"/>
    </row>
    <row r="114" spans="1:10" s="1" customFormat="1" x14ac:dyDescent="0.35">
      <c r="A114" s="56"/>
      <c r="B114" s="44"/>
      <c r="C114" s="217"/>
      <c r="D114" s="217"/>
      <c r="E114" s="217" t="str">
        <f>IF(ReportType=Lists!$O$2, "", "NOTES")</f>
        <v/>
      </c>
      <c r="F114" s="217"/>
      <c r="G114" s="217"/>
      <c r="H114" s="217"/>
      <c r="I114" s="218"/>
      <c r="J114" s="57"/>
    </row>
    <row r="115" spans="1:10" ht="15" customHeight="1" x14ac:dyDescent="0.35">
      <c r="A115" s="53"/>
      <c r="B115" s="71" t="str">
        <f>IF(ReportType=Lists!$O$2, "", "Number of Change Orders")</f>
        <v/>
      </c>
      <c r="C115" s="202"/>
      <c r="D115" s="203"/>
      <c r="E115" s="214"/>
      <c r="F115" s="215"/>
      <c r="G115" s="215"/>
      <c r="H115" s="215"/>
      <c r="I115" s="216"/>
      <c r="J115" s="54"/>
    </row>
    <row r="116" spans="1:10" ht="15" customHeight="1" x14ac:dyDescent="0.35">
      <c r="A116" s="53"/>
      <c r="B116" s="71" t="str">
        <f>IF(ReportType=Lists!$O$2, "", "Total Value of Change Orders")</f>
        <v/>
      </c>
      <c r="C116" s="219"/>
      <c r="D116" s="220"/>
      <c r="E116" s="121"/>
      <c r="F116" s="122"/>
      <c r="G116" s="122"/>
      <c r="H116" s="122"/>
      <c r="I116" s="123"/>
      <c r="J116" s="54"/>
    </row>
    <row r="117" spans="1:10" ht="15" customHeight="1" x14ac:dyDescent="0.35">
      <c r="A117" s="53"/>
      <c r="B117" s="71" t="str">
        <f>IF(ReportType=Lists!$O$2, "", "Outstanding Liabilities")</f>
        <v/>
      </c>
      <c r="C117" s="219"/>
      <c r="D117" s="220"/>
      <c r="E117" s="121"/>
      <c r="F117" s="122"/>
      <c r="G117" s="122"/>
      <c r="H117" s="122"/>
      <c r="I117" s="123"/>
      <c r="J117" s="54"/>
    </row>
    <row r="118" spans="1:10" x14ac:dyDescent="0.35">
      <c r="A118" s="53"/>
      <c r="B118" s="18" t="str">
        <f>IF(ReportType=Lists!$O$2, "", "Unsettled Claims")</f>
        <v/>
      </c>
      <c r="C118" s="212"/>
      <c r="D118" s="213"/>
      <c r="E118" s="214"/>
      <c r="F118" s="215"/>
      <c r="G118" s="215"/>
      <c r="H118" s="215"/>
      <c r="I118" s="216"/>
      <c r="J118" s="54"/>
    </row>
    <row r="119" spans="1:10" ht="10" customHeight="1" x14ac:dyDescent="0.35">
      <c r="A119" s="53"/>
      <c r="J119" s="54"/>
    </row>
    <row r="120" spans="1:10" ht="15" thickBot="1" x14ac:dyDescent="0.4">
      <c r="A120" s="53"/>
      <c r="B120" s="1" t="s">
        <v>85</v>
      </c>
      <c r="J120" s="54"/>
    </row>
    <row r="121" spans="1:10" ht="14.5" customHeight="1" x14ac:dyDescent="0.35">
      <c r="A121" s="53"/>
      <c r="B121" s="193" t="s">
        <v>221</v>
      </c>
      <c r="C121" s="174"/>
      <c r="D121" s="174"/>
      <c r="E121" s="174"/>
      <c r="F121" s="174"/>
      <c r="G121" s="174"/>
      <c r="H121" s="174"/>
      <c r="I121" s="175"/>
      <c r="J121" s="54"/>
    </row>
    <row r="122" spans="1:10" x14ac:dyDescent="0.35">
      <c r="A122" s="53"/>
      <c r="B122" s="176"/>
      <c r="C122" s="177"/>
      <c r="D122" s="177"/>
      <c r="E122" s="177"/>
      <c r="F122" s="177"/>
      <c r="G122" s="177"/>
      <c r="H122" s="177"/>
      <c r="I122" s="178"/>
      <c r="J122" s="54"/>
    </row>
    <row r="123" spans="1:10" x14ac:dyDescent="0.35">
      <c r="A123" s="53"/>
      <c r="B123" s="176"/>
      <c r="C123" s="177"/>
      <c r="D123" s="177"/>
      <c r="E123" s="177"/>
      <c r="F123" s="177"/>
      <c r="G123" s="177"/>
      <c r="H123" s="177"/>
      <c r="I123" s="178"/>
      <c r="J123" s="54"/>
    </row>
    <row r="124" spans="1:10" x14ac:dyDescent="0.35">
      <c r="A124" s="53"/>
      <c r="B124" s="176"/>
      <c r="C124" s="177"/>
      <c r="D124" s="177"/>
      <c r="E124" s="177"/>
      <c r="F124" s="177"/>
      <c r="G124" s="177"/>
      <c r="H124" s="177"/>
      <c r="I124" s="178"/>
      <c r="J124" s="54"/>
    </row>
    <row r="125" spans="1:10" x14ac:dyDescent="0.35">
      <c r="A125" s="53"/>
      <c r="B125" s="176"/>
      <c r="C125" s="177"/>
      <c r="D125" s="177"/>
      <c r="E125" s="177"/>
      <c r="F125" s="177"/>
      <c r="G125" s="177"/>
      <c r="H125" s="177"/>
      <c r="I125" s="178"/>
      <c r="J125" s="54"/>
    </row>
    <row r="126" spans="1:10" x14ac:dyDescent="0.35">
      <c r="A126" s="53"/>
      <c r="B126" s="176"/>
      <c r="C126" s="177"/>
      <c r="D126" s="177"/>
      <c r="E126" s="177"/>
      <c r="F126" s="177"/>
      <c r="G126" s="177"/>
      <c r="H126" s="177"/>
      <c r="I126" s="178"/>
      <c r="J126" s="54"/>
    </row>
    <row r="127" spans="1:10" x14ac:dyDescent="0.35">
      <c r="A127" s="53"/>
      <c r="B127" s="176"/>
      <c r="C127" s="177"/>
      <c r="D127" s="177"/>
      <c r="E127" s="177"/>
      <c r="F127" s="177"/>
      <c r="G127" s="177"/>
      <c r="H127" s="177"/>
      <c r="I127" s="178"/>
      <c r="J127" s="54"/>
    </row>
    <row r="128" spans="1:10" x14ac:dyDescent="0.35">
      <c r="A128" s="53"/>
      <c r="B128" s="176"/>
      <c r="C128" s="177"/>
      <c r="D128" s="177"/>
      <c r="E128" s="177"/>
      <c r="F128" s="177"/>
      <c r="G128" s="177"/>
      <c r="H128" s="177"/>
      <c r="I128" s="178"/>
      <c r="J128" s="54"/>
    </row>
    <row r="129" spans="1:10" x14ac:dyDescent="0.35">
      <c r="A129" s="53"/>
      <c r="B129" s="176"/>
      <c r="C129" s="177"/>
      <c r="D129" s="177"/>
      <c r="E129" s="177"/>
      <c r="F129" s="177"/>
      <c r="G129" s="177"/>
      <c r="H129" s="177"/>
      <c r="I129" s="178"/>
      <c r="J129" s="54"/>
    </row>
    <row r="130" spans="1:10" x14ac:dyDescent="0.35">
      <c r="A130" s="53"/>
      <c r="B130" s="176"/>
      <c r="C130" s="177"/>
      <c r="D130" s="177"/>
      <c r="E130" s="177"/>
      <c r="F130" s="177"/>
      <c r="G130" s="177"/>
      <c r="H130" s="177"/>
      <c r="I130" s="178"/>
      <c r="J130" s="54"/>
    </row>
    <row r="131" spans="1:10" x14ac:dyDescent="0.35">
      <c r="A131" s="53"/>
      <c r="B131" s="176"/>
      <c r="C131" s="177"/>
      <c r="D131" s="177"/>
      <c r="E131" s="177"/>
      <c r="F131" s="177"/>
      <c r="G131" s="177"/>
      <c r="H131" s="177"/>
      <c r="I131" s="178"/>
      <c r="J131" s="54"/>
    </row>
    <row r="132" spans="1:10" x14ac:dyDescent="0.35">
      <c r="A132" s="53"/>
      <c r="B132" s="176"/>
      <c r="C132" s="177"/>
      <c r="D132" s="177"/>
      <c r="E132" s="177"/>
      <c r="F132" s="177"/>
      <c r="G132" s="177"/>
      <c r="H132" s="177"/>
      <c r="I132" s="178"/>
      <c r="J132" s="54"/>
    </row>
    <row r="133" spans="1:10" x14ac:dyDescent="0.35">
      <c r="A133" s="53"/>
      <c r="B133" s="176"/>
      <c r="C133" s="177"/>
      <c r="D133" s="177"/>
      <c r="E133" s="177"/>
      <c r="F133" s="177"/>
      <c r="G133" s="177"/>
      <c r="H133" s="177"/>
      <c r="I133" s="178"/>
      <c r="J133" s="54"/>
    </row>
    <row r="134" spans="1:10" x14ac:dyDescent="0.35">
      <c r="A134" s="53"/>
      <c r="B134" s="176"/>
      <c r="C134" s="177"/>
      <c r="D134" s="177"/>
      <c r="E134" s="177"/>
      <c r="F134" s="177"/>
      <c r="G134" s="177"/>
      <c r="H134" s="177"/>
      <c r="I134" s="178"/>
      <c r="J134" s="54"/>
    </row>
    <row r="135" spans="1:10" x14ac:dyDescent="0.35">
      <c r="A135" s="53"/>
      <c r="B135" s="176"/>
      <c r="C135" s="177"/>
      <c r="D135" s="177"/>
      <c r="E135" s="177"/>
      <c r="F135" s="177"/>
      <c r="G135" s="177"/>
      <c r="H135" s="177"/>
      <c r="I135" s="178"/>
      <c r="J135" s="54"/>
    </row>
    <row r="136" spans="1:10" x14ac:dyDescent="0.35">
      <c r="A136" s="53"/>
      <c r="B136" s="176"/>
      <c r="C136" s="177"/>
      <c r="D136" s="177"/>
      <c r="E136" s="177"/>
      <c r="F136" s="177"/>
      <c r="G136" s="177"/>
      <c r="H136" s="177"/>
      <c r="I136" s="178"/>
      <c r="J136" s="54"/>
    </row>
    <row r="137" spans="1:10" x14ac:dyDescent="0.35">
      <c r="A137" s="53"/>
      <c r="B137" s="176"/>
      <c r="C137" s="177"/>
      <c r="D137" s="177"/>
      <c r="E137" s="177"/>
      <c r="F137" s="177"/>
      <c r="G137" s="177"/>
      <c r="H137" s="177"/>
      <c r="I137" s="178"/>
      <c r="J137" s="54"/>
    </row>
    <row r="138" spans="1:10" x14ac:dyDescent="0.35">
      <c r="A138" s="53"/>
      <c r="B138" s="176"/>
      <c r="C138" s="177"/>
      <c r="D138" s="177"/>
      <c r="E138" s="177"/>
      <c r="F138" s="177"/>
      <c r="G138" s="177"/>
      <c r="H138" s="177"/>
      <c r="I138" s="178"/>
      <c r="J138" s="54"/>
    </row>
    <row r="139" spans="1:10" x14ac:dyDescent="0.35">
      <c r="A139" s="53"/>
      <c r="B139" s="176"/>
      <c r="C139" s="177"/>
      <c r="D139" s="177"/>
      <c r="E139" s="177"/>
      <c r="F139" s="177"/>
      <c r="G139" s="177"/>
      <c r="H139" s="177"/>
      <c r="I139" s="178"/>
      <c r="J139" s="54"/>
    </row>
    <row r="140" spans="1:10" ht="15" thickBot="1" x14ac:dyDescent="0.4">
      <c r="A140" s="53"/>
      <c r="B140" s="179"/>
      <c r="C140" s="180"/>
      <c r="D140" s="180"/>
      <c r="E140" s="180"/>
      <c r="F140" s="180"/>
      <c r="G140" s="180"/>
      <c r="H140" s="180"/>
      <c r="I140" s="181"/>
      <c r="J140" s="54"/>
    </row>
    <row r="141" spans="1:10" ht="10" customHeight="1" thickBot="1" x14ac:dyDescent="0.4">
      <c r="A141" s="75"/>
      <c r="B141" s="59"/>
      <c r="C141" s="59"/>
      <c r="D141" s="59"/>
      <c r="E141" s="59"/>
      <c r="F141" s="59"/>
      <c r="G141" s="59"/>
      <c r="H141" s="59"/>
      <c r="I141" s="59"/>
      <c r="J141" s="77"/>
    </row>
  </sheetData>
  <sheetProtection formatCells="0" formatColumns="0" formatRows="0" insertRows="0" insertHyperlinks="0"/>
  <mergeCells count="22">
    <mergeCell ref="C118:D118"/>
    <mergeCell ref="E115:I115"/>
    <mergeCell ref="E118:I118"/>
    <mergeCell ref="C114:D114"/>
    <mergeCell ref="E114:I114"/>
    <mergeCell ref="C116:D116"/>
    <mergeCell ref="C117:D117"/>
    <mergeCell ref="C5:H5"/>
    <mergeCell ref="C7:H7"/>
    <mergeCell ref="C6:H6"/>
    <mergeCell ref="B113:I113"/>
    <mergeCell ref="C115:D115"/>
    <mergeCell ref="C10:H10"/>
    <mergeCell ref="C11:H11"/>
    <mergeCell ref="C12:H12"/>
    <mergeCell ref="G57:H57"/>
    <mergeCell ref="G58:H58"/>
    <mergeCell ref="G59:H59"/>
    <mergeCell ref="E57:F57"/>
    <mergeCell ref="C57:D57"/>
    <mergeCell ref="C58:D58"/>
    <mergeCell ref="C59:D59"/>
  </mergeCells>
  <phoneticPr fontId="14" type="noConversion"/>
  <conditionalFormatting sqref="A1:J30">
    <cfRule type="expression" dxfId="8" priority="18">
      <formula>CELL("PROTECT", A1)=0</formula>
    </cfRule>
  </conditionalFormatting>
  <conditionalFormatting sqref="A32:J81">
    <cfRule type="expression" dxfId="7" priority="12">
      <formula>CELL("PROTECT", A32)=0</formula>
    </cfRule>
  </conditionalFormatting>
  <conditionalFormatting sqref="A83:J90">
    <cfRule type="expression" dxfId="6" priority="10">
      <formula>CELL("PROTECT", A83)=0</formula>
    </cfRule>
  </conditionalFormatting>
  <conditionalFormatting sqref="A92:J102">
    <cfRule type="expression" dxfId="5" priority="5">
      <formula>CELL("PROTECT", A92)=0</formula>
    </cfRule>
  </conditionalFormatting>
  <conditionalFormatting sqref="A103:J108">
    <cfRule type="expression" dxfId="4" priority="2">
      <formula>CELL("PROTECT", A103)=0</formula>
    </cfRule>
  </conditionalFormatting>
  <conditionalFormatting sqref="A109:J115 A116:C117 E116:J117 A118:J120 A31:G31 J31 A82 C82:J82 A91 C91:J91">
    <cfRule type="expression" dxfId="3" priority="24">
      <formula>CELL("PROTECT", A31)=0</formula>
    </cfRule>
  </conditionalFormatting>
  <conditionalFormatting sqref="A121:J141">
    <cfRule type="expression" dxfId="2" priority="1">
      <formula>CELL("PROTECT", A121)=0</formula>
    </cfRule>
  </conditionalFormatting>
  <conditionalFormatting sqref="E101:I102">
    <cfRule type="expression" dxfId="0" priority="4">
      <formula>$B101=""</formula>
    </cfRule>
  </conditionalFormatting>
  <dataValidations disablePrompts="1" count="1">
    <dataValidation type="list" allowBlank="1" showInputMessage="1" showErrorMessage="1" sqref="K69" xr:uid="{00000000-0002-0000-0100-000000000000}">
      <formula1>"PMoptions"</formula1>
    </dataValidation>
  </dataValidations>
  <hyperlinks>
    <hyperlink ref="C12" r:id="rId1" xr:uid="{D3731E87-FEB5-46AD-A071-1ADDEF08FCD4}"/>
  </hyperlinks>
  <pageMargins left="0.45" right="0.45" top="0.5" bottom="0.5" header="0.3" footer="0.3"/>
  <pageSetup scale="66" fitToHeight="2" orientation="portrait" r:id="rId2"/>
  <headerFooter>
    <oddFooter>&amp;C&amp;P</oddFooter>
  </headerFooter>
  <rowBreaks count="1" manualBreakCount="1">
    <brk id="77" max="9" man="1"/>
  </rowBreaks>
  <extLst>
    <ext xmlns:x14="http://schemas.microsoft.com/office/spreadsheetml/2009/9/main" uri="{78C0D931-6437-407d-A8EE-F0AAD7539E65}">
      <x14:conditionalFormattings>
        <x14:conditionalFormatting xmlns:xm="http://schemas.microsoft.com/office/excel/2006/main">
          <x14:cfRule type="expression" priority="22" id="{B9175676-CF21-48FE-9D3A-C33726FBC220}">
            <xm:f>ReportType=Lists!$O$2</xm:f>
            <x14:dxf>
              <font>
                <b val="0"/>
                <i val="0"/>
              </font>
              <numFmt numFmtId="0" formatCode="General"/>
              <fill>
                <patternFill patternType="none">
                  <bgColor auto="1"/>
                </patternFill>
              </fill>
              <border>
                <left/>
                <right/>
                <top/>
                <bottom/>
                <vertical/>
                <horizontal/>
              </border>
            </x14:dxf>
          </x14:cfRule>
          <xm:sqref>B113:I118</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H62</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86</v>
      </c>
      <c r="E1" s="1"/>
      <c r="F1" s="1" t="s">
        <v>87</v>
      </c>
      <c r="G1" s="1"/>
      <c r="H1" s="94"/>
      <c r="I1" s="1"/>
      <c r="J1" s="1"/>
      <c r="K1" s="1"/>
      <c r="L1" s="1"/>
      <c r="M1" s="1" t="s">
        <v>88</v>
      </c>
      <c r="N1" s="1"/>
      <c r="O1" s="1" t="s">
        <v>89</v>
      </c>
    </row>
    <row r="2" spans="2:15" ht="15" customHeight="1" x14ac:dyDescent="0.35">
      <c r="B2" t="s">
        <v>90</v>
      </c>
      <c r="D2" t="s">
        <v>91</v>
      </c>
      <c r="F2" t="s">
        <v>92</v>
      </c>
      <c r="H2" s="2" t="s">
        <v>93</v>
      </c>
      <c r="J2" t="s">
        <v>94</v>
      </c>
      <c r="M2" t="s">
        <v>3</v>
      </c>
      <c r="O2" t="s">
        <v>2</v>
      </c>
    </row>
    <row r="3" spans="2:15" ht="15" customHeight="1" x14ac:dyDescent="0.35">
      <c r="B3" t="s">
        <v>95</v>
      </c>
      <c r="D3" t="s">
        <v>96</v>
      </c>
      <c r="F3" t="s">
        <v>4</v>
      </c>
      <c r="H3" s="3" t="s">
        <v>97</v>
      </c>
      <c r="J3" t="s">
        <v>98</v>
      </c>
      <c r="M3" t="str">
        <f ca="1">TEXT(DATE(YEAR(TODAY()), MONTH(TODAY())+ROWS($M$2:$M3)-1, DAY(1)), "MMMM YYYY")</f>
        <v>August 2026</v>
      </c>
      <c r="O3" t="s">
        <v>99</v>
      </c>
    </row>
    <row r="4" spans="2:15" ht="15" customHeight="1" x14ac:dyDescent="0.35">
      <c r="B4" t="s">
        <v>100</v>
      </c>
      <c r="F4" t="s">
        <v>101</v>
      </c>
      <c r="H4" s="2" t="s">
        <v>102</v>
      </c>
      <c r="J4" t="s">
        <v>103</v>
      </c>
      <c r="M4" t="str">
        <f ca="1">TEXT(DATE(YEAR(TODAY()), MONTH(TODAY())+ROWS($M$2:$M4)-1, DAY(1)), "MMMM YYYY")</f>
        <v>September 2026</v>
      </c>
    </row>
    <row r="5" spans="2:15" ht="15" customHeight="1" x14ac:dyDescent="0.35">
      <c r="B5" t="s">
        <v>104</v>
      </c>
      <c r="H5" s="3" t="s">
        <v>105</v>
      </c>
      <c r="J5" t="s">
        <v>101</v>
      </c>
      <c r="M5" t="str">
        <f ca="1">TEXT(DATE(YEAR(TODAY()), MONTH(TODAY())+ROWS($M$2:$M5)-1, DAY(1)), "MMMM YYYY")</f>
        <v>October 2026</v>
      </c>
    </row>
    <row r="6" spans="2:15" ht="15" customHeight="1" x14ac:dyDescent="0.35">
      <c r="B6" t="s">
        <v>106</v>
      </c>
      <c r="H6" s="2" t="s">
        <v>107</v>
      </c>
      <c r="M6" t="str">
        <f ca="1">TEXT(DATE(YEAR(TODAY()), MONTH(TODAY())+ROWS($M$2:$M6)-1, DAY(1)), "MMMM YYYY")</f>
        <v>November 2026</v>
      </c>
    </row>
    <row r="7" spans="2:15" ht="15" customHeight="1" x14ac:dyDescent="0.35">
      <c r="B7" t="s">
        <v>108</v>
      </c>
      <c r="H7" s="3" t="s">
        <v>109</v>
      </c>
      <c r="M7" t="str">
        <f ca="1">TEXT(DATE(YEAR(TODAY()), MONTH(TODAY())+ROWS($M$2:$M7)-1, DAY(1)), "MMMM YYYY")</f>
        <v>December 2026</v>
      </c>
    </row>
    <row r="8" spans="2:15" ht="15" customHeight="1" x14ac:dyDescent="0.35">
      <c r="B8" t="s">
        <v>110</v>
      </c>
      <c r="D8" t="s">
        <v>111</v>
      </c>
      <c r="H8" s="2" t="s">
        <v>112</v>
      </c>
      <c r="M8" t="str">
        <f ca="1">TEXT(DATE(YEAR(TODAY()), MONTH(TODAY())+ROWS($M$2:$M8)-1, DAY(1)), "MMMM YYYY")</f>
        <v>January 2027</v>
      </c>
    </row>
    <row r="9" spans="2:15" ht="15" customHeight="1" x14ac:dyDescent="0.35">
      <c r="B9" t="s">
        <v>113</v>
      </c>
      <c r="D9" t="s">
        <v>114</v>
      </c>
      <c r="H9" s="3" t="s">
        <v>115</v>
      </c>
      <c r="M9" t="str">
        <f ca="1">TEXT(DATE(YEAR(TODAY()), MONTH(TODAY())+ROWS($M$2:$M9)-1, DAY(1)), "MMMM YYYY")</f>
        <v>February 2027</v>
      </c>
    </row>
    <row r="10" spans="2:15" ht="15" customHeight="1" x14ac:dyDescent="0.35">
      <c r="B10" t="s">
        <v>116</v>
      </c>
      <c r="D10" t="s">
        <v>41</v>
      </c>
      <c r="H10" s="2" t="s">
        <v>117</v>
      </c>
      <c r="M10" t="str">
        <f ca="1">TEXT(DATE(YEAR(TODAY()), MONTH(TODAY())+ROWS($M$2:$M10)-1, DAY(1)), "MMMM YYYY")</f>
        <v>March 2027</v>
      </c>
    </row>
    <row r="11" spans="2:15" ht="15" customHeight="1" x14ac:dyDescent="0.35">
      <c r="B11" t="s">
        <v>118</v>
      </c>
      <c r="H11" s="3" t="s">
        <v>119</v>
      </c>
      <c r="M11" t="str">
        <f ca="1">TEXT(DATE(YEAR(TODAY()), MONTH(TODAY())+ROWS($M$2:$M11)-1, DAY(1)), "MMMM YYYY")</f>
        <v>April 2027</v>
      </c>
    </row>
    <row r="12" spans="2:15" ht="15" customHeight="1" x14ac:dyDescent="0.35">
      <c r="B12" t="s">
        <v>120</v>
      </c>
      <c r="H12" s="3" t="s">
        <v>121</v>
      </c>
      <c r="M12" t="str">
        <f ca="1">TEXT(DATE(YEAR(TODAY()), MONTH(TODAY())+ROWS($M$2:$M12)-1, DAY(1)), "MMMM YYYY")</f>
        <v>May 2027</v>
      </c>
    </row>
    <row r="13" spans="2:15" ht="15" customHeight="1" x14ac:dyDescent="0.35">
      <c r="B13" t="s">
        <v>122</v>
      </c>
      <c r="H13" s="3" t="s">
        <v>123</v>
      </c>
      <c r="M13" t="str">
        <f ca="1">TEXT(DATE(YEAR(TODAY()), MONTH(TODAY())+ROWS($M$2:$M13)-1, DAY(1)), "MMMM YYYY")</f>
        <v>June 2027</v>
      </c>
    </row>
    <row r="14" spans="2:15" ht="15" customHeight="1" x14ac:dyDescent="0.35">
      <c r="B14" t="s">
        <v>124</v>
      </c>
      <c r="H14" s="2" t="s">
        <v>125</v>
      </c>
      <c r="M14" t="str">
        <f ca="1">TEXT(DATE(YEAR(TODAY()), MONTH(TODAY())+ROWS($M$2:$M14)-1, DAY(1)), "MMMM YYYY")</f>
        <v>July 2027</v>
      </c>
    </row>
    <row r="15" spans="2:15" ht="15" customHeight="1" x14ac:dyDescent="0.35">
      <c r="B15" t="s">
        <v>126</v>
      </c>
      <c r="H15" s="3" t="s">
        <v>127</v>
      </c>
      <c r="M15" t="str">
        <f ca="1">TEXT(DATE(YEAR(TODAY()), MONTH(TODAY())+ROWS($M$2:$M15)-1, DAY(1)), "MMMM YYYY")</f>
        <v>August 2027</v>
      </c>
    </row>
    <row r="16" spans="2:15" ht="15" customHeight="1" x14ac:dyDescent="0.35">
      <c r="B16" t="s">
        <v>128</v>
      </c>
      <c r="H16" s="2" t="s">
        <v>129</v>
      </c>
      <c r="M16" t="str">
        <f ca="1">TEXT(DATE(YEAR(TODAY()), MONTH(TODAY())+ROWS($M$2:$M16)-1, DAY(1)), "MMMM YYYY")</f>
        <v>September 2027</v>
      </c>
    </row>
    <row r="17" spans="2:13" ht="15" customHeight="1" x14ac:dyDescent="0.35">
      <c r="B17" t="s">
        <v>130</v>
      </c>
      <c r="H17" s="3" t="s">
        <v>131</v>
      </c>
      <c r="M17" t="str">
        <f ca="1">TEXT(DATE(YEAR(TODAY()), MONTH(TODAY())+ROWS($M$2:$M17)-1, DAY(1)), "MMMM YYYY")</f>
        <v>October 2027</v>
      </c>
    </row>
    <row r="18" spans="2:13" ht="15" customHeight="1" x14ac:dyDescent="0.35">
      <c r="B18" t="s">
        <v>132</v>
      </c>
      <c r="H18" s="2" t="s">
        <v>133</v>
      </c>
      <c r="M18" t="str">
        <f ca="1">TEXT(DATE(YEAR(TODAY()), MONTH(TODAY())+ROWS($M$2:$M18)-1, DAY(1)), "MMMM YYYY")</f>
        <v>November 2027</v>
      </c>
    </row>
    <row r="19" spans="2:13" ht="15" customHeight="1" x14ac:dyDescent="0.35">
      <c r="B19" t="s">
        <v>134</v>
      </c>
      <c r="H19" s="3" t="s">
        <v>135</v>
      </c>
      <c r="M19" t="str">
        <f ca="1">TEXT(DATE(YEAR(TODAY()), MONTH(TODAY())+ROWS($M$2:$M19)-1, DAY(1)), "MMMM YYYY")</f>
        <v>December 2027</v>
      </c>
    </row>
    <row r="20" spans="2:13" ht="15" customHeight="1" x14ac:dyDescent="0.35">
      <c r="B20" t="s">
        <v>136</v>
      </c>
      <c r="H20" s="2" t="s">
        <v>137</v>
      </c>
      <c r="M20" t="str">
        <f ca="1">TEXT(DATE(YEAR(TODAY()), MONTH(TODAY())+ROWS($M$2:$M20)-1, DAY(1)), "MMMM YYYY")</f>
        <v>January 2028</v>
      </c>
    </row>
    <row r="21" spans="2:13" ht="15" customHeight="1" x14ac:dyDescent="0.35">
      <c r="B21" t="s">
        <v>138</v>
      </c>
      <c r="H21" s="3">
        <v>2022</v>
      </c>
      <c r="M21" t="str">
        <f ca="1">TEXT(DATE(YEAR(TODAY()), MONTH(TODAY())+ROWS($M$2:$M21)-1, DAY(1)), "MMMM YYYY")</f>
        <v>February 2028</v>
      </c>
    </row>
    <row r="22" spans="2:13" ht="15" customHeight="1" x14ac:dyDescent="0.35">
      <c r="B22" t="s">
        <v>139</v>
      </c>
      <c r="H22" s="2" t="s">
        <v>140</v>
      </c>
      <c r="M22" t="str">
        <f ca="1">TEXT(DATE(YEAR(TODAY()), MONTH(TODAY())+ROWS($M$2:$M22)-1, DAY(1)), "MMMM YYYY")</f>
        <v>March 2028</v>
      </c>
    </row>
    <row r="23" spans="2:13" ht="15" customHeight="1" x14ac:dyDescent="0.35">
      <c r="B23" t="s">
        <v>141</v>
      </c>
      <c r="H23" s="3">
        <v>2024</v>
      </c>
      <c r="M23" t="str">
        <f ca="1">TEXT(DATE(YEAR(TODAY()), MONTH(TODAY())+ROWS($M$2:$M23)-1, DAY(1)), "MMMM YYYY")</f>
        <v>April 2028</v>
      </c>
    </row>
    <row r="24" spans="2:13" ht="15" customHeight="1" x14ac:dyDescent="0.35">
      <c r="B24" t="s">
        <v>142</v>
      </c>
      <c r="M24" t="str">
        <f ca="1">TEXT(DATE(YEAR(TODAY()), MONTH(TODAY())+ROWS($M$2:$M24)-1, DAY(1)), "MMMM YYYY")</f>
        <v>May 2028</v>
      </c>
    </row>
    <row r="25" spans="2:13" ht="15" customHeight="1" x14ac:dyDescent="0.35">
      <c r="B25" t="s">
        <v>143</v>
      </c>
      <c r="H25" s="3"/>
      <c r="M25" t="str">
        <f ca="1">TEXT(DATE(YEAR(TODAY()), MONTH(TODAY())+ROWS($M$2:$M25)-1, DAY(1)), "MMMM YYYY")</f>
        <v>June 2028</v>
      </c>
    </row>
    <row r="26" spans="2:13" ht="15" customHeight="1" x14ac:dyDescent="0.35">
      <c r="B26" t="s">
        <v>144</v>
      </c>
      <c r="M26" t="str">
        <f ca="1">TEXT(DATE(YEAR(TODAY()), MONTH(TODAY())+ROWS($M$2:$M26)-1, DAY(1)), "MMMM YYYY")</f>
        <v>July 2028</v>
      </c>
    </row>
    <row r="27" spans="2:13" ht="15" customHeight="1" x14ac:dyDescent="0.35">
      <c r="B27" t="s">
        <v>145</v>
      </c>
    </row>
    <row r="28" spans="2:13" ht="15" customHeight="1" x14ac:dyDescent="0.35">
      <c r="B28" t="s">
        <v>146</v>
      </c>
    </row>
    <row r="29" spans="2:13" ht="15" customHeight="1" x14ac:dyDescent="0.35">
      <c r="B29" t="s">
        <v>147</v>
      </c>
    </row>
    <row r="30" spans="2:13" ht="15" customHeight="1" x14ac:dyDescent="0.35">
      <c r="B30" t="s">
        <v>148</v>
      </c>
    </row>
    <row r="31" spans="2:13" ht="15" customHeight="1" x14ac:dyDescent="0.35">
      <c r="B31" t="s">
        <v>149</v>
      </c>
    </row>
    <row r="32" spans="2:13" ht="15" customHeight="1" x14ac:dyDescent="0.35">
      <c r="B32" t="s">
        <v>150</v>
      </c>
    </row>
    <row r="33" spans="2:2" ht="15" customHeight="1" x14ac:dyDescent="0.35">
      <c r="B33" t="s">
        <v>151</v>
      </c>
    </row>
    <row r="34" spans="2:2" ht="15" customHeight="1" x14ac:dyDescent="0.35">
      <c r="B34" t="s">
        <v>152</v>
      </c>
    </row>
    <row r="35" spans="2:2" ht="15" customHeight="1" x14ac:dyDescent="0.35">
      <c r="B35" t="s">
        <v>153</v>
      </c>
    </row>
    <row r="36" spans="2:2" ht="15" customHeight="1" x14ac:dyDescent="0.35">
      <c r="B36" t="s">
        <v>154</v>
      </c>
    </row>
    <row r="37" spans="2:2" ht="15" customHeight="1" x14ac:dyDescent="0.35">
      <c r="B37" t="s">
        <v>155</v>
      </c>
    </row>
    <row r="38" spans="2:2" ht="15" customHeight="1" x14ac:dyDescent="0.35">
      <c r="B38" t="s">
        <v>156</v>
      </c>
    </row>
    <row r="39" spans="2:2" ht="15" customHeight="1" x14ac:dyDescent="0.35">
      <c r="B39" t="s">
        <v>157</v>
      </c>
    </row>
    <row r="40" spans="2:2" ht="15" customHeight="1" x14ac:dyDescent="0.35">
      <c r="B40" t="s">
        <v>158</v>
      </c>
    </row>
    <row r="41" spans="2:2" ht="15" customHeight="1" x14ac:dyDescent="0.35">
      <c r="B41" t="s">
        <v>159</v>
      </c>
    </row>
    <row r="42" spans="2:2" ht="15" customHeight="1" x14ac:dyDescent="0.35">
      <c r="B42" t="s">
        <v>160</v>
      </c>
    </row>
    <row r="43" spans="2:2" ht="15" customHeight="1" x14ac:dyDescent="0.35">
      <c r="B43" t="s">
        <v>161</v>
      </c>
    </row>
    <row r="44" spans="2:2" ht="15" customHeight="1" x14ac:dyDescent="0.35">
      <c r="B44" t="s">
        <v>162</v>
      </c>
    </row>
    <row r="45" spans="2:2" ht="15" customHeight="1" x14ac:dyDescent="0.35">
      <c r="B45" t="s">
        <v>163</v>
      </c>
    </row>
    <row r="46" spans="2:2" ht="15" customHeight="1" x14ac:dyDescent="0.35">
      <c r="B46" t="s">
        <v>164</v>
      </c>
    </row>
    <row r="47" spans="2:2" ht="15" customHeight="1" x14ac:dyDescent="0.35">
      <c r="B47" t="s">
        <v>165</v>
      </c>
    </row>
    <row r="48" spans="2:2" ht="15" customHeight="1" x14ac:dyDescent="0.35">
      <c r="B48" t="s">
        <v>166</v>
      </c>
    </row>
    <row r="49" spans="2:2" ht="15" customHeight="1" x14ac:dyDescent="0.35">
      <c r="B49" t="s">
        <v>167</v>
      </c>
    </row>
    <row r="50" spans="2:2" ht="15" customHeight="1" x14ac:dyDescent="0.35">
      <c r="B50" t="s">
        <v>168</v>
      </c>
    </row>
    <row r="51" spans="2:2" ht="15" customHeight="1" x14ac:dyDescent="0.35">
      <c r="B51" t="s">
        <v>169</v>
      </c>
    </row>
    <row r="52" spans="2:2" ht="15" customHeight="1" x14ac:dyDescent="0.35">
      <c r="B52" t="s">
        <v>170</v>
      </c>
    </row>
    <row r="53" spans="2:2" ht="15" customHeight="1" x14ac:dyDescent="0.35">
      <c r="B53" t="s">
        <v>171</v>
      </c>
    </row>
    <row r="54" spans="2:2" ht="15" customHeight="1" x14ac:dyDescent="0.35">
      <c r="B54" t="s">
        <v>172</v>
      </c>
    </row>
    <row r="55" spans="2:2" ht="15" customHeight="1" x14ac:dyDescent="0.35">
      <c r="B55" t="s">
        <v>173</v>
      </c>
    </row>
    <row r="56" spans="2:2" ht="15" customHeight="1" x14ac:dyDescent="0.35">
      <c r="B56" t="s">
        <v>174</v>
      </c>
    </row>
    <row r="57" spans="2:2" ht="15" customHeight="1" x14ac:dyDescent="0.35">
      <c r="B57" t="s">
        <v>175</v>
      </c>
    </row>
    <row r="58" spans="2:2" ht="15" customHeight="1" x14ac:dyDescent="0.35">
      <c r="B58" t="s">
        <v>176</v>
      </c>
    </row>
    <row r="59" spans="2:2" ht="15" customHeight="1" x14ac:dyDescent="0.35">
      <c r="B59" t="s">
        <v>177</v>
      </c>
    </row>
    <row r="60" spans="2:2" ht="15" customHeight="1" x14ac:dyDescent="0.35">
      <c r="B60" t="s">
        <v>178</v>
      </c>
    </row>
    <row r="61" spans="2:2" ht="15" customHeight="1" x14ac:dyDescent="0.35">
      <c r="B61" t="s">
        <v>179</v>
      </c>
    </row>
    <row r="62" spans="2:2" ht="15" customHeight="1" x14ac:dyDescent="0.35">
      <c r="B62" t="s">
        <v>180</v>
      </c>
    </row>
    <row r="63" spans="2:2" ht="15" customHeight="1" x14ac:dyDescent="0.35">
      <c r="B63" t="s">
        <v>181</v>
      </c>
    </row>
    <row r="64" spans="2:2" ht="15" customHeight="1" x14ac:dyDescent="0.35">
      <c r="B64" t="s">
        <v>182</v>
      </c>
    </row>
    <row r="65" spans="2:2" ht="15" customHeight="1" x14ac:dyDescent="0.3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4545f5-10b3-4879-acbe-925be942e2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0EA5E3154B8A4989DB7038BA1B7E2B" ma:contentTypeVersion="17" ma:contentTypeDescription="Create a new document." ma:contentTypeScope="" ma:versionID="528eda80e75fdb393de668718130b396">
  <xsd:schema xmlns:xsd="http://www.w3.org/2001/XMLSchema" xmlns:xs="http://www.w3.org/2001/XMLSchema" xmlns:p="http://schemas.microsoft.com/office/2006/metadata/properties" xmlns:ns3="0f4545f5-10b3-4879-acbe-925be942e211" xmlns:ns4="82e7e358-87b2-405a-bc37-9ca6338ee2e4" targetNamespace="http://schemas.microsoft.com/office/2006/metadata/properties" ma:root="true" ma:fieldsID="60f4a3b82dfa41a88ff89e45f3a4820c" ns3:_="" ns4:_="">
    <xsd:import namespace="0f4545f5-10b3-4879-acbe-925be942e211"/>
    <xsd:import namespace="82e7e358-87b2-405a-bc37-9ca6338ee2e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545f5-10b3-4879-acbe-925be942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e7e358-87b2-405a-bc37-9ca6338ee2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documentManagement/types"/>
    <ds:schemaRef ds:uri="http://purl.org/dc/dcmitype/"/>
    <ds:schemaRef ds:uri="http://purl.org/dc/terms/"/>
    <ds:schemaRef ds:uri="http://purl.org/dc/elements/1.1/"/>
    <ds:schemaRef ds:uri="82e7e358-87b2-405a-bc37-9ca6338ee2e4"/>
    <ds:schemaRef ds:uri="http://schemas.microsoft.com/office/infopath/2007/PartnerControls"/>
    <ds:schemaRef ds:uri="0f4545f5-10b3-4879-acbe-925be942e211"/>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6E64340-F9AD-4F80-9431-F30218D3B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545f5-10b3-4879-acbe-925be942e211"/>
    <ds:schemaRef ds:uri="82e7e358-87b2-405a-bc37-9ca6338ee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40000916-btc-campus-ctr-emergncy-dec2025</dc:title>
  <dc:subject/>
  <dc:creator>Office of Financial Management;Christine Thomas</dc:creator>
  <cp:keywords/>
  <dc:description/>
  <cp:lastModifiedBy>Susan Locke</cp:lastModifiedBy>
  <cp:revision/>
  <dcterms:created xsi:type="dcterms:W3CDTF">2012-08-29T14:59:47Z</dcterms:created>
  <dcterms:modified xsi:type="dcterms:W3CDTF">2026-07-01T14:28:26Z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0x010100680EA5E3154B8A4989DB7038BA1B7E2B</vt:lpwstr>
  </property>
</Properties>
</file>